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28800" windowHeight="12225" firstSheet="1" activeTab="1"/>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<sst xmlns="http://schemas.openxmlformats.org/spreadsheetml/2006/main" count="3721" uniqueCount="2993">
  <si>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</si>
  <si>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</si>
  <si>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</si>
  <si>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</si>
  <si>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</si>
  <si>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</si>
  <si>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</si>
  <si>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</si>
  <si>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</si>
  <si>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</si>
  <si>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</si>
  <si>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</si>
  <si>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</si>
  <si>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</si>
  <si>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</si>
  <si>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</si>
  <si>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</si>
  <si>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</si>
  <si>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</si>
  <si>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</si>
  <si>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</si>
  <si>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</si>
  <si>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</si>
  <si>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</si>
  <si>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</si>
  <si>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</si>
  <si>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</si>
  <si>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</si>
  <si>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</si>
  <si>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</si>
  <si>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</si>
  <si>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</si>
  <si>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</si>
  <si>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</si>
  <si>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</si>
  <si>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</si>
  <si>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</si>
  <si>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</si>
  <si>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</si>
  <si>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</si>
  <si>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</si>
  <si>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</si>
  <si>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</si>
  <si>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</si>
  <si>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</si>
  <si>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</si>
  <si>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</si>
  <si>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</si>
  <si>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</si>
  <si>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</si>
  <si>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</si>
  <si>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</si>
  <si>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</si>
  <si>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</si>
  <si>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</si>
  <si>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</si>
  <si>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</si>
  <si>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</si>
  <si>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</si>
  <si>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</si>
  <si>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</si>
  <si>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</si>
  <si>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</si>
  <si>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</si>
  <si>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</si>
  <si>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</si>
  <si>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</si>
  <si>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</si>
  <si>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</si>
  <si>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</si>
  <si>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</si>
  <si>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</si>
  <si>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</si>
  <si>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</si>
  <si>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</si>
  <si>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</si>
  <si>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</si>
  <si>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</si>
  <si>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</si>
  <si>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</si>
  <si>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</si>
  <si>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</si>
  <si>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</si>
  <si>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</si>
  <si>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</si>
  <si>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</si>
  <si>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</si>
  <si>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</si>
  <si>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</si>
  <si>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</si>
  <si>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</si>
  <si>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</si>
  <si>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</si>
  <si>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</si>
  <si>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</si>
  <si>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</si>
  <si>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</si>
  <si>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</si>
  <si>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</si>
  <si>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</si>
  <si>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</si>
  <si>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</si>
  <si>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</si>
  <si>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</si>
  <si>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</si>
  <si>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</si>
  <si>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</si>
  <si>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</si>
  <si>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</si>
  <si>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</si>
  <si>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</si>
  <si>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</si>
  <si>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</si>
  <si>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</si>
  <si>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</si>
  <si>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</si>
  <si>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</si>
  <si>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</si>
  <si>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</si>
  <si>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</si>
  <si>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</si>
  <si>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</si>
  <si>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</si>
  <si>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</si>
  <si>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</si>
  <si>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</si>
  <si>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</si>
  <si>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</si>
  <si>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</si>
  <si>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</si>
  <si>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</si>
  <si>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</si>
  <si>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</si>
  <si>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</si>
  <si>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</si>
  <si>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</si>
  <si>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</si>
  <si>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</si>
  <si>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</si>
  <si>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</si>
  <si>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</si>
  <si>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</si>
  <si>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</si>
  <si>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</si>
  <si>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</si>
  <si>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</si>
  <si>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</si>
  <si>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</si>
  <si>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</si>
  <si>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</si>
  <si>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</si>
  <si>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</si>
  <si>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</si>
  <si>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</si>
  <si>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</si>
  <si>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</si>
  <si>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</si>
  <si>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</si>
  <si>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</si>
  <si>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</si>
  <si>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</si>
  <si>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</si>
  <si>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</si>
  <si>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</si>
  <si>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</si>
  <si>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</si>
  <si>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</si>
  <si>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</si>
  <si>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</si>
  <si>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</si>
  <si>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</si>
  <si>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</si>
  <si>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</si>
  <si>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</si>
  <si>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</si>
  <si>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</si>
  <si>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</si>
  <si>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</si>
  <si>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</si>
  <si>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</si>
  <si>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</si>
  <si>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</si>
  <si>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</si>
  <si>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</si>
  <si>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</si>
  <si>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</si>
  <si>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</si>
  <si>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</si>
  <si>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</si>
  <si>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</si>
  <si>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</si>
  <si>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</si>
  <si>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</si>
  <si>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</si>
  <si>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</si>
  <si>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</si>
  <si>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</si>
  <si>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</si>
  <si>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</si>
  <si>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</si>
  <si>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</si>
  <si>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</si>
  <si>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</si>
  <si>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</si>
  <si>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</si>
  <si>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</si>
  <si>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</si>
  <si>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</si>
  <si>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</si>
  <si>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</si>
  <si>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</si>
  <si>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</si>
  <si>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</si>
  <si>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</si>
  <si>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</si>
  <si>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</si>
  <si>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</si>
  <si>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</si>
  <si>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</si>
  <si>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</si>
  <si>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</si>
  <si>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</si>
  <si>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</si>
  <si>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</si>
  <si>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</si>
  <si>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</si>
  <si>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</si>
  <si>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</si>
  <si>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</si>
  <si>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</si>
  <si>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</si>
  <si>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</si>
  <si>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</si>
  <si>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</si>
  <si>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</si>
  <si>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</si>
  <si>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</si>
  <si>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</si>
  <si>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</si>
  <si>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</si>
  <si>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</si>
  <si>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</si>
  <si>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</si>
  <si>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</si>
  <si>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</si>
  <si>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</si>
  <si>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</si>
  <si>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</si>
  <si>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</si>
  <si>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</si>
  <si>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</si>
  <si>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</si>
  <si>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</si>
  <si>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</si>
  <si>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</si>
  <si>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</si>
  <si>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</si>
  <si>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</si>
  <si>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</si>
  <si>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</si>
  <si>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</si>
  <si>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</si>
  <si>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</si>
  <si>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</si>
  <si>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</si>
  <si>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</si>
  <si>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</si>
  <si>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</si>
  <si>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</si>
  <si>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</si>
  <si>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</si>
  <si>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</si>
  <si>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</si>
  <si>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</si>
  <si>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</si>
  <si>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</si>
  <si>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</si>
  <si>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</si>
  <si>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</si>
  <si>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</si>
  <si>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</si>
  <si>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</si>
  <si>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</si>
  <si>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</si>
  <si>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</si>
  <si>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</si>
  <si>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</si>
  <si>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</si>
  <si>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</si>
  <si>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</si>
  <si>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</si>
  <si>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</si>
  <si>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</si>
  <si>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</si>
  <si>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</si>
  <si>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</si>
  <si>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</si>
  <si>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</si>
  <si>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</si>
  <si>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</si>
  <si>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</si>
  <si>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</si>
  <si>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</si>
  <si>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</si>
  <si>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</si>
  <si>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</si>
  <si>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</si>
  <si>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</si>
  <si>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</si>
  <si>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</si>
  <si>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</si>
  <si>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</si>
  <si>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</si>
  <si>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</si>
  <si>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</si>
  <si>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</si>
  <si>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</si>
  <si>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</si>
  <si>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</si>
  <si>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</si>
  <si>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</si>
  <si>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</si>
  <si>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</si>
  <si>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</si>
  <si>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</si>
  <si>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</si>
  <si>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</si>
  <si>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</si>
  <si>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</si>
  <si>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</si>
  <si>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</si>
  <si>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</si>
  <si>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</si>
  <si>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</si>
  <si>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</si>
  <si>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</si>
  <si>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</si>
  <si>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</si>
  <si>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</si>
  <si>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</si>
  <si>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</si>
  <si>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</si>
  <si>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</si>
  <si>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</si>
  <si>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</si>
  <si>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</si>
  <si>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</si>
  <si>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</si>
  <si>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</si>
  <si>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</si>
  <si>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</si>
  <si>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</si>
  <si>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</si>
  <si>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</si>
  <si>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</si>
  <si>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</si>
  <si>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</si>
  <si>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</si>
  <si>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</si>
  <si>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</si>
  <si>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</si>
  <si>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</si>
  <si>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</si>
  <si>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</si>
  <si>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</si>
  <si>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</si>
  <si>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</si>
  <si>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</si>
  <si>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</si>
  <si>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</si>
  <si>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</si>
  <si>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</si>
  <si>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</si>
  <si>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</si>
  <si>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</si>
  <si>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</si>
  <si>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</si>
  <si>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</si>
  <si>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</si>
  <si>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</si>
  <si>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</si>
  <si>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</si>
  <si>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</si>
  <si>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</si>
  <si>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</si>
  <si>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</si>
  <si>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</si>
  <si>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</si>
  <si>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</si>
  <si>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</si>
  <si>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</si>
  <si>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</si>
  <si>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</si>
  <si>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</si>
  <si>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</si>
  <si>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</si>
  <si>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</si>
  <si>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</si>
  <si>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</si>
  <si>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</si>
  <si>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</si>
  <si>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</si>
  <si>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</si>
  <si>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</si>
  <si>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</si>
  <si>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</si>
  <si>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</si>
  <si>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</si>
  <si>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</si>
  <si>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</si>
  <si>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</si>
  <si>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</si>
  <si>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</si>
  <si>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</si>
  <si>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</si>
  <si>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</si>
  <si>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</si>
  <si>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</si>
  <si>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</si>
  <si>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</si>
  <si>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</si>
  <si>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</si>
  <si>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</si>
  <si>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</si>
  <si>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</si>
  <si>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</si>
  <si>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</si>
  <si>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</si>
  <si>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</si>
  <si>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</si>
  <si>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</si>
  <si>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</si>
  <si>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</si>
  <si>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</si>
  <si>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</si>
  <si>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</si>
  <si>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</si>
  <si>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</si>
  <si>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</si>
  <si>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</si>
  <si>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</si>
  <si>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</si>
  <si>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</si>
  <si>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</si>
  <si>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</si>
  <si>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</si>
  <si>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</si>
  <si>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</si>
  <si>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</si>
  <si>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</si>
  <si>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</si>
  <si>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</si>
  <si>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</si>
  <si>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</si>
  <si>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</si>
  <si>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</si>
  <si>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</si>
  <si>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</si>
  <si>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</si>
  <si>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</si>
  <si>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</si>
  <si>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</si>
  <si>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</si>
  <si>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</si>
  <si>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</si>
  <si>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</si>
  <si>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</si>
  <si>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</si>
  <si>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</si>
  <si>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</si>
  <si>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</si>
  <si>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</si>
  <si>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</si>
  <si>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</si>
  <si>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</si>
  <si>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</si>
  <si>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</si>
  <si>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</si>
  <si>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</si>
  <si>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</si>
  <si>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</si>
  <si>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</si>
  <si>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</si>
  <si>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</si>
  <si>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</si>
  <si>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</si>
  <si>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</si>
  <si>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</si>
  <si>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</si>
  <si>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</si>
  <si>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</si>
  <si>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</si>
  <si>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</si>
  <si>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</si>
  <si>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</si>
  <si>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</si>
  <si>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</si>
  <si>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</si>
  <si>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</si>
  <si>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</si>
  <si>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</si>
  <si>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</si>
  <si>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</si>
  <si>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</si>
  <si>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</si>
  <si>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</si>
  <si>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</si>
  <si>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</si>
  <si>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</si>
  <si>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</si>
  <si>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</si>
  <si>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</si>
  <si>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</si>
  <si>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</si>
  <si>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</si>
  <si>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</si>
  <si>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</si>
  <si>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</si>
  <si>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</si>
  <si>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</si>
  <si>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</si>
  <si>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</si>
  <si>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</si>
  <si>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</si>
  <si>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</si>
  <si>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</si>
  <si>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</si>
  <si>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</si>
  <si>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</si>
  <si>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</si>
  <si>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</si>
  <si>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</si>
  <si>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</si>
  <si>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</si>
  <si>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</si>
  <si>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</si>
  <si>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</si>
  <si>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</si>
  <si>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</si>
  <si>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</si>
  <si>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</si>
  <si>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</si>
  <si>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</si>
  <si>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</si>
  <si>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</si>
  <si>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</si>
  <si>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</si>
  <si>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</si>
  <si>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</si>
  <si>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</si>
  <si>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</si>
  <si>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</si>
  <si>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</si>
  <si>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</si>
  <si>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</si>
  <si>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</si>
  <si>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</si>
  <si>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</si>
  <si>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</si>
  <si>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</si>
  <si>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</si>
  <si>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</si>
  <si>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</si>
  <si>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</si>
  <si>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</si>
  <si>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</si>
  <si>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</si>
  <si>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</si>
  <si>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</si>
  <si>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</si>
  <si>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</si>
  <si>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</si>
  <si>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</si>
  <si>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</si>
  <si>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</si>
  <si>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</si>
  <si>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</si>
  <si>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</si>
  <si>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</si>
  <si>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</si>
  <si>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</si>
  <si>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</si>
  <si>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</si>
  <si>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</si>
  <si>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</si>
  <si>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</si>
  <si>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</si>
  <si>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</si>
  <si>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</si>
  <si>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</si>
  <si>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</si>
  <si>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</si>
  <si>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</si>
  <si>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</si>
  <si>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</si>
  <si>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</si>
  <si>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</si>
  <si>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</si>
  <si>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</si>
  <si>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</si>
  <si>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</si>
  <si>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</si>
  <si>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</si>
  <si>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</si>
  <si>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</si>
  <si>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</si>
  <si>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</si>
  <si>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</si>
  <si>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</si>
  <si>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</si>
  <si>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</si>
  <si>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</si>
  <si>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</si>
  <si>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</si>
  <si>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</si>
  <si>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</si>
  <si>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</si>
  <si>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</si>
  <si>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</si>
  <si>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</si>
  <si>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</si>
  <si>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</si>
  <si>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</si>
  <si>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</si>
  <si>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</si>
  <si>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</si>
  <si>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</si>
  <si>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</si>
  <si>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</si>
  <si>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</si>
  <si>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</si>
  <si>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</si>
  <si>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</si>
  <si>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</si>
  <si>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</si>
  <si>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</si>
  <si>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</si>
  <si>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</si>
  <si>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</si>
  <si>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</si>
  <si>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</si>
  <si>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</si>
  <si>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</si>
  <si>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</si>
  <si>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</si>
  <si>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</si>
  <si>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</si>
  <si>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</si>
  <si>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</si>
  <si>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</si>
  <si>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</si>
  <si>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</si>
  <si>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</si>
  <si>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</si>
  <si>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</si>
  <si>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</si>
  <si>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</si>
  <si>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</si>
  <si>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</si>
  <si>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</si>
  <si>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</si>
  <si>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</si>
  <si>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</si>
  <si>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</si>
  <si>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</si>
  <si>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</si>
  <si>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</si>
  <si>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</si>
  <si>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</si>
  <si>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</si>
  <si>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</si>
  <si>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</si>
  <si>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</si>
  <si>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</si>
  <si>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</si>
  <si>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</si>
  <si>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</si>
  <si>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</si>
  <si>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</si>
  <si>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</si>
  <si>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</si>
  <si>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</si>
  <si>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</si>
  <si>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</si>
  <si>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</si>
  <si>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</si>
  <si>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</si>
  <si>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</si>
  <si>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</si>
  <si>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</si>
  <si>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</si>
  <si>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</si>
  <si>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</si>
  <si>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</si>
  <si>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</si>
  <si>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</si>
  <si>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</si>
  <si>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</si>
  <si>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</si>
  <si>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</si>
  <si>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</si>
  <si>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</si>
  <si>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</si>
  <si>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</si>
  <si>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</si>
  <si>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</si>
  <si>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</si>
  <si>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</si>
  <si>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</si>
  <si>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</si>
  <si>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</si>
  <si>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</si>
  <si>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</si>
  <si>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</si>
  <si>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</si>
  <si>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</si>
  <si>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</si>
  <si>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</si>
  <si>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</si>
  <si>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</si>
  <si>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</si>
  <si>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</si>
  <si>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</si>
  <si>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</si>
  <si>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</si>
  <si>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</si>
  <si>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</si>
  <si>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</si>
  <si>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</si>
  <si>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</si>
  <si>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</si>
  <si>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</si>
  <si>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</si>
  <si>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</si>
  <si>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</si>
  <si>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</si>
  <si>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</si>
  <si>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</si>
  <si>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</si>
  <si>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</si>
  <si>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</si>
  <si>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</si>
  <si>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</si>
  <si>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</si>
  <si>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</si>
  <si>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</si>
  <si>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</si>
  <si>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</si>
  <si>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</si>
  <si>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</si>
  <si>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</si>
  <si>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</si>
  <si>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</si>
  <si>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</si>
  <si>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</si>
  <si>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</si>
  <si>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</si>
  <si>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</si>
  <si>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</si>
  <si>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</si>
  <si>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</si>
  <si>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</si>
  <si>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</si>
  <si>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</si>
  <si>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</si>
  <si>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</si>
  <si>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</si>
  <si>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</si>
  <si>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</si>
  <si>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</si>
  <si>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</si>
  <si>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</si>
  <si>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</si>
  <si>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</si>
  <si>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</si>
  <si>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</si>
  <si>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</si>
  <si>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</si>
  <si>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</si>
  <si>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</si>
  <si>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</si>
  <si>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</si>
  <si>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</si>
  <si>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</si>
  <si>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</si>
  <si>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</si>
  <si>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</si>
  <si>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</si>
  <si>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</si>
  <si>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</si>
  <si>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</si>
  <si>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</si>
  <si>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</si>
  <si>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</si>
  <si>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</si>
  <si>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</si>
  <si>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</si>
  <si>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</si>
  <si>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</si>
  <si>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</si>
  <si>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</si>
  <si>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</si>
  <si>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</si>
  <si>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</si>
  <si>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</si>
  <si>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</si>
  <si>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</si>
  <si>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</si>
  <si>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</si>
  <si>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</si>
  <si>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</si>
  <si>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</si>
  <si>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</si>
  <si>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</si>
  <si>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</si>
  <si>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</si>
  <si>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</si>
  <si>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</si>
  <si>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</si>
  <si>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</si>
  <si>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</si>
  <si>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</si>
  <si>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</si>
  <si>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</si>
  <si>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</si>
  <si>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</si>
  <si>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</si>
  <si>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</si>
  <si>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</si>
  <si>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</si>
  <si>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</si>
  <si>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</si>
  <si>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</si>
  <si>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</si>
  <si>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</si>
  <si>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</si>
  <si>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</si>
  <si>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</si>
  <si>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</si>
  <si>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</si>
  <si>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</si>
  <si>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</si>
  <si>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</si>
  <si>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</si>
  <si>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</si>
  <si>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</si>
  <si>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</si>
  <si>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</si>
  <si>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</si>
  <si>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</si>
  <si>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</si>
  <si>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</si>
  <si>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</si>
  <si>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</si>
  <si>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</si>
  <si>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</si>
  <si>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</si>
  <si>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</si>
  <si>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</si>
  <si>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</si>
  <si>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</si>
  <si>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</si>
  <si>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</si>
  <si>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</si>
  <si>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</si>
  <si>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</si>
  <si>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</si>
  <si>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</si>
  <si>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</si>
  <si>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</si>
  <si>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</si>
  <si>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</si>
  <si>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</si>
  <si>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</si>
  <si>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</si>
  <si>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</si>
  <si>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</si>
  <si>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</si>
  <si>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</si>
  <si>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</si>
  <si>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</si>
  <si>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</si>
  <si>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</si>
  <si>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</si>
  <si>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</si>
  <si>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</si>
  <si>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</si>
  <si>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</si>
  <si>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</si>
  <si>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</si>
  <si>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</si>
  <si>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</si>
  <si>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</si>
  <si>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</si>
  <si>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</si>
  <si>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</si>
  <si>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</si>
  <si>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</si>
  <si>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</si>
  <si>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</si>
  <si>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</si>
  <si>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</si>
  <si>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</si>
  <si>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</si>
  <si>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</si>
  <si>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</si>
  <si>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</si>
  <si>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</si>
  <si>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</si>
  <si>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</si>
  <si>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</si>
  <si>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</si>
  <si>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</si>
  <si>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</si>
  <si>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</si>
  <si>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</si>
  <si>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</si>
  <si>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</si>
  <si>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</si>
  <si>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</si>
  <si>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</si>
  <si>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</si>
  <si>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</si>
  <si>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</si>
  <si>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</si>
  <si>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</si>
  <si>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</si>
  <si>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</si>
  <si>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</si>
  <si>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</si>
  <si>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</si>
  <si>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</si>
  <si>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</si>
  <si>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</si>
  <si>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</si>
  <si>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</si>
  <si>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</si>
  <si>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</si>
  <si>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</si>
  <si>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</si>
  <si>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</si>
  <si>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</si>
  <si>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</si>
  <si>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</si>
  <si>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</si>
  <si>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</si>
  <si>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</si>
  <si>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</si>
  <si>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</si>
  <si>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</si>
  <si>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</si>
  <si>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</si>
  <si>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</si>
  <si>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</si>
  <si>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</si>
  <si>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</si>
  <si>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</si>
  <si>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</si>
  <si>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</si>
  <si>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</si>
  <si>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</si>
  <si>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</si>
  <si>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</si>
  <si>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</si>
  <si>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</si>
  <si>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</si>
  <si>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</si>
  <si>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</si>
  <si>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</si>
  <si>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</si>
  <si>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</si>
  <si>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</si>
  <si>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</si>
  <si>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</si>
  <si>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</si>
  <si>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</si>
  <si>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</si>
  <si>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</si>
  <si>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</si>
  <si>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</si>
  <si>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</si>
  <si>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</si>
  <si>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</si>
  <si>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</si>
  <si>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</si>
  <si>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</si>
  <si>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</si>
  <si>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</si>
  <si>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</si>
  <si>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</si>
  <si>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</si>
  <si>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</si>
  <si>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</si>
  <si>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</si>
  <si>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</si>
  <si>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</si>
  <si>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</si>
  <si>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</si>
  <si>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</si>
  <si>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</si>
  <si>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</si>
  <si>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</si>
  <si>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</si>
  <si>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</si>
  <si>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</si>
  <si>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</si>
  <si>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</si>
  <si>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</si>
  <si>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</si>
  <si>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</si>
  <si>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</si>
  <si>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</si>
  <si>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</si>
  <si>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</si>
  <si>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</si>
  <si>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</si>
  <si>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</si>
  <si>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</si>
  <si>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</si>
  <si>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</si>
  <si>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</si>
  <si>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</si>
  <si>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</si>
  <si>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</si>
  <si>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</si>
  <si>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</si>
  <si>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</si>
  <si>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</si>
  <si>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</si>
  <si>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</si>
  <si>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</si>
  <si>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</si>
  <si>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</si>
  <si>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</si>
  <si>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</si>
  <si>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</si>
  <si>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</si>
  <si>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</si>
  <si>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</si>
  <si>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</si>
  <si>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</si>
  <si>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</si>
  <si>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</si>
  <si>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</si>
  <si>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</si>
  <si>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</si>
  <si>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</si>
  <si>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</si>
  <si>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</si>
  <si>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</si>
  <si>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</si>
  <si>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</si>
  <si>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</si>
  <si>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</si>
  <si>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</si>
  <si>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</si>
  <si>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</si>
  <si>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</si>
  <si>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</si>
  <si>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</si>
  <si>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</si>
  <si>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</si>
  <si>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</si>
  <si>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</si>
  <si>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</si>
  <si>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</si>
  <si>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</si>
  <si>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</si>
  <si>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</si>
  <si>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</si>
  <si>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</si>
  <si>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</si>
  <si>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</si>
  <si>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</si>
  <si>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</si>
  <si>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</si>
  <si>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</si>
  <si>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</si>
  <si>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</si>
  <si>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</si>
  <si>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</si>
  <si>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</si>
  <si>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</si>
  <si>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</si>
  <si>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</si>
  <si>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</si>
  <si>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</si>
  <si>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</si>
  <si>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</si>
  <si>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</si>
  <si>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</si>
  <si>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</si>
  <si>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</si>
  <si>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</si>
  <si>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</si>
  <si>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</si>
  <si>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</si>
  <si>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</si>
  <si>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</si>
  <si>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</si>
  <si>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</si>
  <si>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</si>
  <si>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</si>
  <si>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</si>
  <si>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</si>
  <si>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</si>
  <si>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</si>
  <si>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</si>
  <si>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</si>
  <si>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</si>
  <si>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</si>
  <si>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</si>
  <si>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</si>
  <si>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</si>
  <si>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</si>
  <si>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</si>
  <si>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</si>
  <si>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</si>
  <si>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</si>
  <si>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</si>
  <si>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</si>
  <si>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</si>
  <si>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</si>
  <si>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</si>
  <si>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</si>
  <si>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</si>
  <si>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</si>
  <si>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</si>
  <si>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</si>
  <si>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</si>
  <si>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</si>
  <si>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</si>
  <si>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</si>
  <si>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</si>
  <si>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</si>
  <si>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</si>
  <si>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</si>
  <si>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</si>
  <si>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</si>
  <si>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</si>
  <si>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</si>
  <si>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</si>
  <si>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</si>
  <si>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</si>
  <si>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</si>
  <si>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</si>
  <si>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</si>
  <si>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</si>
  <si>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</si>
  <si>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</si>
  <si>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</si>
  <si>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</si>
  <si>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</si>
  <si>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</si>
  <si>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</si>
  <si>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</si>
  <si>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</si>
  <si>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</si>
  <si>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</si>
  <si>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</si>
  <si>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</si>
  <si>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</si>
  <si>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</si>
  <si>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</si>
  <si>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</si>
  <si>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</si>
  <si>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</si>
  <si>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</si>
  <si>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</si>
  <si>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</si>
  <si>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</si>
  <si>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</si>
  <si>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</si>
  <si>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</si>
  <si>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</si>
  <si>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</si>
  <si>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</si>
  <si>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</si>
  <si>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</si>
  <si>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</si>
  <si>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</si>
  <si>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</si>
  <si>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</si>
  <si>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</si>
  <si>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</si>
  <si>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</si>
  <si>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</si>
  <si>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</si>
  <si>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</si>
  <si>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</si>
  <si>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</si>
  <si>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</si>
  <si>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</si>
  <si>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</si>
  <si>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</si>
  <si>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</si>
  <si>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</si>
  <si>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</si>
  <si>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</si>
  <si>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</si>
  <si>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</si>
  <si>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</si>
  <si>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</si>
  <si>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</si>
  <si>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</si>
  <si>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</si>
  <si>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</si>
  <si>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</si>
  <si>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</si>
  <si>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</si>
  <si>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</si>
  <si>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</si>
  <si>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</si>
  <si>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</si>
  <si>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</si>
  <si>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</si>
  <si>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</si>
  <si>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</si>
  <si>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</si>
  <si>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</si>
  <si>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</si>
  <si>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</si>
  <si>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</si>
  <si>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</si>
  <si>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</si>
  <si>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</si>
  <si>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</si>
  <si>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</si>
  <si>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</si>
  <si>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</si>
  <si>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</si>
  <si>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</si>
  <si>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</si>
  <si>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</si>
  <si>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</si>
  <si>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</si>
  <si>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</si>
  <si>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</si>
  <si>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</si>
  <si>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</si>
  <si>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</si>
  <si>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</si>
  <si>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</si>
  <si>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</si>
  <si>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</si>
  <si>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</si>
  <si>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</si>
  <si>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</si>
  <si>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</si>
  <si>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</si>
  <si>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</si>
  <si>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</si>
  <si>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</si>
  <si>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</si>
  <si>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</si>
  <si>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</si>
  <si>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</si>
  <si>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</si>
  <si>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</si>
  <si>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</si>
  <si>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</si>
  <si>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</si>
  <si>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</si>
  <si>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</si>
  <si>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</si>
  <si>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</si>
  <si>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</si>
  <si>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</si>
  <si>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</si>
  <si>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</si>
  <si>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</si>
  <si>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</si>
  <si>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</si>
  <si>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</si>
  <si>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</si>
  <si>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</si>
  <si>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</si>
  <si>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</si>
  <si>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</si>
  <si>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</si>
  <si>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</si>
  <si>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</si>
  <si>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</si>
  <si>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</si>
  <si>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</si>
  <si>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</si>
  <si>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</si>
  <si>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</si>
  <si>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</si>
  <si>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</si>
  <si>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</si>
  <si>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</si>
  <si>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</si>
  <si>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</si>
  <si>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</si>
  <si>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</si>
  <si>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</si>
  <si>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</si>
  <si>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</si>
  <si>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</si>
  <si>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</si>
  <si>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</si>
  <si>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</si>
  <si>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</si>
  <si>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</si>
  <si>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</si>
  <si>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</si>
  <si>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</si>
  <si>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</si>
  <si>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</si>
  <si>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</si>
  <si>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</si>
  <si>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</si>
  <si>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</si>
  <si>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</si>
  <si>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</si>
  <si>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</si>
  <si>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</si>
  <si>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</si>
  <si>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</si>
  <si>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</si>
  <si>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</si>
  <si>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</si>
  <si>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</si>
  <si>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</si>
  <si>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</si>
  <si>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</si>
  <si>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</si>
  <si>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</si>
  <si>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</si>
  <si>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</si>
  <si>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</si>
  <si>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</si>
  <si>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</si>
  <si>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</si>
  <si>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</si>
  <si>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</si>
  <si>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</si>
  <si>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</si>
  <si>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</si>
  <si>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</si>
  <si>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</si>
  <si>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</si>
  <si>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</si>
  <si>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</si>
  <si>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</si>
  <si>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</si>
  <si>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</si>
  <si>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</si>
  <si>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</si>
  <si>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</si>
  <si>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</si>
  <si>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</si>
  <si>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</si>
  <si>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</si>
  <si>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</si>
  <si>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</si>
  <si>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</si>
  <si>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</si>
  <si>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</si>
  <si>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</si>
  <si>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</si>
  <si>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</si>
  <si>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</si>
  <si>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</si>
  <si>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</si>
  <si>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</si>
  <si>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</si>
  <si>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</si>
  <si>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</si>
  <si>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</si>
  <si>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</si>
  <si>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</si>
  <si>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</si>
  <si>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</si>
  <si>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</si>
  <si>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</si>
  <si>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</si>
  <si>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</si>
  <si>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</si>
  <si>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</si>
  <si>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</si>
  <si>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</si>
  <si>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</si>
  <si>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</si>
  <si>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</si>
  <si>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</si>
  <si>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</si>
  <si>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</si>
  <si>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</si>
  <si>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</si>
  <si>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</si>
  <si>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</si>
  <si>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</si>
  <si>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</si>
  <si>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</si>
  <si>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</si>
  <si>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</si>
  <si>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</si>
  <si>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</si>
  <si>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</si>
  <si>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</si>
  <si>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</si>
  <si>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</si>
  <si>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</si>
  <si>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</si>
  <si>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</si>
  <si>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</si>
  <si>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</si>
  <si>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</si>
  <si>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</si>
  <si>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</si>
  <si>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</si>
  <si>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</si>
  <si>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</si>
  <si>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</si>
  <si>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</si>
  <si>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</si>
  <si>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</si>
  <si>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</si>
  <si>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</si>
  <si>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</si>
  <si>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</si>
  <si>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</si>
  <si>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</si>
  <si>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</si>
  <si>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</si>
  <si>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</si>
  <si>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</si>
  <si>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</si>
  <si>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</si>
  <si>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</si>
  <si>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</si>
  <si>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</si>
  <si>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</si>
  <si>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</si>
  <si>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</si>
  <si>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</si>
  <si>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</si>
  <si>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</si>
  <si>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</si>
  <si>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</si>
  <si>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</si>
  <si>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</si>
  <si>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</si>
  <si>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</si>
  <si>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</si>
  <si>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</si>
  <si>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</si>
  <si>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</si>
  <si>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</si>
  <si>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</si>
  <si>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</si>
  <si>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</si>
  <si>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</si>
  <si>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</si>
  <si>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</si>
  <si>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</si>
  <si>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</si>
  <si>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</si>
  <si>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</si>
  <si>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</si>
  <si>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</si>
  <si>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</si>
  <si>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</si>
  <si>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</si>
  <si>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</si>
  <si>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</si>
  <si>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</si>
  <si>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</si>
  <si>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</si>
  <si>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</si>
  <si>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</si>
  <si>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</si>
  <si>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</si>
  <si>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</si>
  <si>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</si>
  <si>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</si>
  <si>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</si>
  <si>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</si>
  <si>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</si>
  <si>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</si>
  <si>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</si>
  <si>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</si>
  <si>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</si>
  <si>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</si>
  <si>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</si>
  <si>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</si>
  <si>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</si>
  <si>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</si>
  <si>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</si>
  <si>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</si>
  <si>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</si>
  <si>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</si>
  <si>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</si>
  <si>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</si>
  <si>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</si>
  <si>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</si>
  <si>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</si>
  <si>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</si>
  <si>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</si>
  <si>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</si>
  <si>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</si>
  <si>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</si>
  <si>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</si>
  <si>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</si>
  <si>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</si>
  <si>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</si>
  <si>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</si>
  <si>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</si>
  <si>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</si>
  <si>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</si>
  <si>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</si>
  <si>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</si>
  <si>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</si>
  <si>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</si>
  <si>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</si>
  <si>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</si>
  <si>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</si>
  <si>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</si>
  <si>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</si>
  <si>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</si>
  <si>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</si>
  <si>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</si>
  <si>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</si>
  <si>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</si>
  <si>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</si>
  <si>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</si>
  <si>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</si>
  <si>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</si>
  <si>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</si>
  <si>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</si>
  <si>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</si>
  <si>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</si>
  <si>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</si>
  <si>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</si>
  <si>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</si>
  <si>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</si>
  <si>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</si>
  <si>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</si>
  <si>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</si>
  <si>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</si>
  <si>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</si>
  <si>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</si>
  <si>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</si>
  <si>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</si>
  <si>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</si>
  <si>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</si>
  <si>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</si>
  <si>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</si>
  <si>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</si>
  <si>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</si>
  <si>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</si>
  <si>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</si>
  <si>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</si>
  <si>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</si>
  <si>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</si>
  <si>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</si>
  <si>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</si>
  <si>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</si>
  <si>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</si>
  <si>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</si>
  <si>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</si>
  <si>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</si>
  <si>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</si>
  <si>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</si>
  <si>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</si>
  <si>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</si>
  <si>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</si>
  <si>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</si>
  <si>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</si>
  <si>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</si>
  <si>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</si>
  <si>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</si>
  <si>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</si>
  <si>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</si>
  <si>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</si>
  <si>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</si>
  <si>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</si>
  <si>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</si>
  <si>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</si>
  <si>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</si>
  <si>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</si>
  <si>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</si>
  <si>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</si>
  <si>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</si>
  <si>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</si>
  <si>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</si>
  <si>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</si>
  <si>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</si>
  <si>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</si>
  <si>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</si>
  <si>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</si>
  <si>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</si>
  <si>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</si>
  <si>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</si>
  <si>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</si>
  <si>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</si>
  <si>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</si>
  <si>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</si>
  <si>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</si>
  <si>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</si>
  <si>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</si>
  <si>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</si>
  <si>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</si>
  <si>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</si>
  <si>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</si>
  <si>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</si>
  <si>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</si>
  <si>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</si>
  <si>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</si>
  <si>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</si>
  <si>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</si>
  <si>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</si>
  <si>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</si>
  <si>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</si>
  <si>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</si>
  <si>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</si>
  <si>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</si>
  <si>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</si>
  <si>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</si>
  <si>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</si>
  <si>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</si>
  <si>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</si>
  <si>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</si>
  <si>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</si>
  <si>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</si>
  <si>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</si>
  <si>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</si>
  <si>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</si>
  <si>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</si>
  <si>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</si>
  <si>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</si>
  <si>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</si>
  <si>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</si>
  <si>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</si>
  <si>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</si>
  <si>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</si>
  <si>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</si>
  <si>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</si>
  <si>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</si>
  <si>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</si>
  <si>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</si>
  <si>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</si>
  <si>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</si>
  <si>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</si>
  <si>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</si>
  <si>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</si>
  <si>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</si>
  <si>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</si>
  <si>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</si>
  <si>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</si>
  <si>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</si>
  <si>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</si>
  <si>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</si>
  <si>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</si>
  <si>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</si>
  <si>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</si>
  <si>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</si>
  <si>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</si>
  <si>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</si>
  <si>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</si>
  <si>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</si>
  <si>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</si>
  <si>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</si>
  <si>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</si>
  <si>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</si>
  <si>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</si>
  <si>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</si>
  <si>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</si>
  <si>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</si>
  <si>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</si>
  <si>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</si>
  <si>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</si>
  <si>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</si>
  <si>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</si>
  <si>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</si>
  <si>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</si>
  <si>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</si>
  <si>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</si>
  <si>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</si>
  <si>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</si>
  <si>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</si>
  <si>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</si>
  <si>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</si>
  <si>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</si>
  <si>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</si>
  <si>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</si>
  <si>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</si>
  <si>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</si>
  <si>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</si>
  <si>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</si>
  <si>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</si>
  <si>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</si>
  <si>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</si>
  <si>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</si>
  <si>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</si>
  <si>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</si>
  <si>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</si>
  <si>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</si>
  <si>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</si>
  <si>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</si>
  <si>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</si>
  <si>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</si>
  <si>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</si>
  <si>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</si>
  <si>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</si>
  <si>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</si>
  <si>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</si>
  <si>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</si>
  <si>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</si>
  <si>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</si>
  <si>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</si>
  <si>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</si>
  <si>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</si>
  <si>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</si>
  <si>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</si>
  <si>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</si>
  <si>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</si>
  <si>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</si>
  <si>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</si>
  <si>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</si>
  <si>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</si>
  <si>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</si>
  <si>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</si>
  <si>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</si>
  <si>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</si>
  <si>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</si>
  <si>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</si>
  <si>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</si>
  <si>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</si>
  <si>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</si>
  <si>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</si>
  <si>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</si>
  <si>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</si>
  <si>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</si>
  <si>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</si>
  <si>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</si>
  <si>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</si>
  <si>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</si>
  <si>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</si>
  <si>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</si>
  <si>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</si>
  <si>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</si>
  <si>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</si>
  <si>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</si>
  <si>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</si>
  <si>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</si>
  <si>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</si>
  <si>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</si>
  <si>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</si>
  <si>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</si>
  <si>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</si>
  <si>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</si>
  <si>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</si>
  <si>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</si>
  <si>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</si>
  <si>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</si>
  <si>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</si>
  <si>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</si>
  <si>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</si>
  <si>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</si>
  <si>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</si>
  <si>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</si>
  <si>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</si>
  <si>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</si>
  <si>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</si>
  <si>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</si>
  <si>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</si>
  <si>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</si>
  <si>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</si>
  <si>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</si>
  <si>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</si>
  <si>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</si>
  <si>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</si>
  <si>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</si>
  <si>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</si>
  <si>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</si>
  <si>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</si>
  <si>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</si>
  <si>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</si>
  <si>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</si>
  <si>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</si>
  <si>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</si>
  <si>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</si>
  <si>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</si>
  <si>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</si>
  <si>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</si>
  <si>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</si>
  <si>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</si>
  <si>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</si>
  <si>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</si>
  <si>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</si>
  <si>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</si>
  <si>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</si>
  <si>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</si>
  <si>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</si>
  <si>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</si>
  <si>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</si>
  <si>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</si>
  <si>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</si>
  <si>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</si>
  <si>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</si>
  <si>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</si>
  <si>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</si>
  <si>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</si>
  <si>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</si>
  <si>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</si>
  <si>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</si>
  <si>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</si>
  <si>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</si>
  <si>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</si>
  <si>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</si>
  <si>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</si>
  <si>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</si>
  <si>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</si>
  <si>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</si>
  <si>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</si>
  <si>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</si>
  <si>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</si>
  <si>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</si>
  <si>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</si>
  <si>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</si>
  <si>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</si>
  <si>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</si>
  <si>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</si>
  <si>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</si>
  <si>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</si>
  <si>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</si>
  <si>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</si>
  <si>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</si>
  <si>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</si>
  <si>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</si>
  <si>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</si>
  <si>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</si>
  <si>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</si>
  <si>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</si>
  <si>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</si>
  <si>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</si>
  <si>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</si>
  <si>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</si>
  <si>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</si>
  <si>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</si>
  <si>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</si>
  <si>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</si>
  <si>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</si>
  <si>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</si>
  <si>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</si>
  <si>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</si>
  <si>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</si>
  <si>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</si>
  <si>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</si>
  <si>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</si>
  <si>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</si>
  <si>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</si>
  <si>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</si>
  <si>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</si>
  <si>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</si>
  <si>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</si>
  <si>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</si>
  <si>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</si>
  <si>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</si>
  <si>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</si>
  <si>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</si>
  <si>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</si>
  <si>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</si>
  <si>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</si>
  <si>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</si>
  <si>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</si>
  <si>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</si>
  <si>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</si>
  <si>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</si>
  <si>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</si>
  <si>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</si>
  <si>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</si>
  <si>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</si>
  <si>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</si>
  <si>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</si>
  <si>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</si>
  <si>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</si>
  <si>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</si>
  <si>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</si>
  <si>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</si>
  <si>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</si>
  <si>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</si>
  <si>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</si>
  <si>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</si>
  <si>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</si>
  <si>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</si>
  <si>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</si>
  <si>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</si>
  <si>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</si>
  <si>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</si>
  <si>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</si>
  <si>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</si>
  <si>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</si>
  <si>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</si>
  <si>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</si>
  <si>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</si>
  <si>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</si>
  <si>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</si>
  <si>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</si>
  <si>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</si>
  <si>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</si>
  <si>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</si>
  <si>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</si>
  <si>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</si>
  <si>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</si>
  <si>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</si>
  <si>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</si>
  <si>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</si>
  <si>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</si>
  <si>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</si>
  <si>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</si>
  <si>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</si>
  <si>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</si>
  <si>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</si>
  <si>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</si>
  <si>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</si>
  <si>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</si>
  <si>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</si>
  <si>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</si>
  <si>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</si>
  <si>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</si>
  <si>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</si>
  <si>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</si>
  <si>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</si>
  <si>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</si>
  <si>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</si>
  <si>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</si>
  <si>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</si>
  <si>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</si>
  <si>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</si>
  <si>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</si>
  <si>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</si>
  <si>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</si>
  <si>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</si>
  <si>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</si>
  <si>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</si>
  <si>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</si>
  <si>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</si>
  <si>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</si>
  <si>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</si>
  <si>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</si>
  <si>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</si>
  <si>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</si>
  <si>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</si>
  <si>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</si>
  <si>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</si>
  <si>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</si>
  <si>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</si>
  <si>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</si>
  <si>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</si>
  <si>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</si>
  <si>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</si>
  <si>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</si>
  <si>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</si>
  <si>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</si>
  <si>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</si>
  <si>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</si>
  <si>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</si>
  <si>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</si>
  <si>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</si>
  <si>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</si>
  <si>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</si>
  <si>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</si>
  <si>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</si>
  <si>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</si>
  <si>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</si>
  <si>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</si>
  <si>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</si>
  <si>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</si>
  <si>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</si>
  <si>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</si>
  <si>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</si>
  <si>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</si>
  <si>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</si>
  <si>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</si>
  <si>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</si>
  <si>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</si>
  <si>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</si>
  <si>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</si>
  <si>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</si>
  <si>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</si>
  <si>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</si>
  <si>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</si>
  <si>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</si>
  <si>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</si>
  <si>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</si>
  <si>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</si>
  <si>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</si>
  <si>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</si>
  <si>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</si>
  <si>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</si>
  <si>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</si>
  <si>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</si>
  <si>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</si>
  <si>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</si>
  <si>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</si>
  <si>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</si>
  <si>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</si>
  <si>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</si>
  <si>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</si>
  <si>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</si>
  <si>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</si>
  <si>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</si>
  <si>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</si>
  <si>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</si>
  <si>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</si>
  <si>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</si>
  <si>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</si>
  <si>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</si>
  <si>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</si>
  <si>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</si>
  <si>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</si>
  <si>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</si>
  <si>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</si>
  <si>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</si>
  <si>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</si>
  <si>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</si>
  <si>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</si>
  <si>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</si>
  <si>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</si>
  <si>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</si>
  <si>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</si>
  <si>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</si>
  <si>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</si>
  <si>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</si>
  <si>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</si>
  <si>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</si>
  <si>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</si>
  <si>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</si>
  <si>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</si>
  <si>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</si>
  <si>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</si>
  <si>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</si>
  <si>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</si>
  <si>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</si>
  <si>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</si>
  <si>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</si>
  <si>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</si>
  <si>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</si>
  <si>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</si>
  <si>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</si>
  <si>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</si>
  <si>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</si>
  <si>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</si>
  <si>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</si>
  <si>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</si>
  <si>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</si>
  <si>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</si>
  <si>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</si>
  <si>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</si>
  <si>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</si>
  <si>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</si>
  <si>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</si>
  <si>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</si>
  <si>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</si>
  <si>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</si>
  <si>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</si>
  <si>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</si>
  <si>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</si>
  <si>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</si>
  <si>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</si>
  <si>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</si>
  <si>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</si>
  <si>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</si>
  <si>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</si>
  <si>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</si>
  <si>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</si>
  <si>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</si>
  <si>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</si>
  <si>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</si>
  <si>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</si>
  <si>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</si>
  <si>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</si>
  <si>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</si>
  <si>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</si>
  <si>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</si>
  <si>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</si>
  <si>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</si>
  <si>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</si>
  <si>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</si>
  <si>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</si>
  <si>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</si>
  <si>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</si>
  <si>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</si>
  <si>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</si>
  <si>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</si>
  <si>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</si>
  <si>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</si>
  <si>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</si>
  <si>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</si>
  <si>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</si>
  <si>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</si>
  <si>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</si>
  <si>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</si>
  <si>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</si>
  <si>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</si>
  <si>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</si>
  <si>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</si>
  <si>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</si>
  <si>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</si>
  <si>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</si>
  <si>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</si>
  <si>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</si>
  <si>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</si>
  <si>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</si>
  <si>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</si>
  <si>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</si>
  <si>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</si>
  <si>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</si>
  <si>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</si>
  <si>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</si>
  <si>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</si>
  <si>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</si>
  <si>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</si>
  <si>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</si>
  <si>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</si>
  <si>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</si>
  <si>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</si>
  <si>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</si>
  <si>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</si>
  <si>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</si>
  <si>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</si>
  <si>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</si>
  <si>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</si>
  <si>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</si>
  <si>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</si>
  <si>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</si>
  <si>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</si>
  <si>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</si>
  <si>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</si>
  <si>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</si>
  <si>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</si>
  <si>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</si>
  <si>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</si>
  <si>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</si>
  <si>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</si>
  <si>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</si>
  <si>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</si>
  <si>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</si>
  <si>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</si>
  <si>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</si>
  <si>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</si>
  <si>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</si>
  <si>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</si>
  <si>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</si>
  <si>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</si>
  <si>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</si>
  <si>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</si>
  <si>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</si>
  <si>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</si>
  <si>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</si>
  <si>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</si>
  <si>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</si>
  <si>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</si>
  <si>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</si>
  <si>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</si>
  <si>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</si>
  <si>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</si>
  <si>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</si>
  <si>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</si>
  <si>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</si>
  <si>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</si>
  <si>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</si>
  <si>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</si>
  <si>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</si>
  <si>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</si>
  <si>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</si>
  <si>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</si>
  <si>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</si>
  <si>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</si>
  <si>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</si>
  <si>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</si>
  <si>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</si>
  <si>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</si>
  <si>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</si>
  <si>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</si>
  <si>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</si>
  <si>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</si>
  <si>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</si>
  <si>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</si>
  <si>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</si>
  <si>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</si>
  <si>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</si>
  <si>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</si>
  <si>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</si>
  <si>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</si>
  <si>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</si>
  <si>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</si>
  <si>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</si>
  <si>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</si>
  <si>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</si>
  <si>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</si>
  <si>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</si>
  <si>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</si>
  <si>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</si>
  <si>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</si>
  <si>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</si>
  <si>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</si>
  <si>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</si>
  <si>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</si>
  <si>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</si>
  <si>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</si>
  <si>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</si>
  <si>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</si>
  <si>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</si>
  <si>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</si>
  <si>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</si>
  <si>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</si>
  <si>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</si>
  <si>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</si>
  <si>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</si>
  <si>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</si>
  <si>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</si>
  <si>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</si>
  <si>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</si>
  <si>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</si>
  <si>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</si>
  <si>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</si>
  <si>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</si>
  <si>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</si>
  <si>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</si>
  <si>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</si>
  <si>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</si>
  <si>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</si>
  <si>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</si>
  <si>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</si>
  <si>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</si>
  <si>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</si>
  <si>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</si>
  <si>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</si>
  <si>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</si>
  <si>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</si>
  <si>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</si>
  <si>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</si>
  <si>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</si>
  <si>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</si>
  <si>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</si>
  <si>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</si>
  <si>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</si>
  <si>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</si>
  <si>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</si>
  <si>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</si>
  <si>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</si>
  <si>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</si>
  <si>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</si>
  <si>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</si>
  <si>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</si>
  <si>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</si>
  <si>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</si>
  <si>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</si>
  <si>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</si>
  <si>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</si>
  <si>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</si>
  <si>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</si>
  <si>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</si>
  <si>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</si>
  <si>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</si>
  <si>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</si>
  <si>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</si>
  <si>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</si>
  <si>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</si>
  <si>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</si>
  <si>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</si>
  <si>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</si>
  <si>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</si>
  <si>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</si>
  <si>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</si>
  <si>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</si>
  <si>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</si>
  <si>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</si>
  <si>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</si>
  <si>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</si>
  <si>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</si>
  <si>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</si>
  <si>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</si>
  <si>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</si>
  <si>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</si>
  <si>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</si>
  <si>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</si>
  <si>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</si>
  <si>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</si>
  <si>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</si>
  <si>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</si>
  <si>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</si>
  <si>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</si>
  <si>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</si>
  <si>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</si>
  <si>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</si>
  <si>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</si>
  <si>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</si>
  <si>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</si>
  <si>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</si>
  <si>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</si>
  <si>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</si>
  <si>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</si>
  <si>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</si>
  <si>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</si>
  <si>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</si>
  <si>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</si>
  <si>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</si>
  <si>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</si>
  <si>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</si>
  <si>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</si>
  <si>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</si>
  <si>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</si>
  <si>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</si>
  <si>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</si>
  <si>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</si>
  <si>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</si>
  <si>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</si>
  <si>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</si>
  <si>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</si>
  <si>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</si>
  <si>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</si>
  <si>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</si>
  <si>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</si>
  <si>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</si>
  <si>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</si>
  <si>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</si>
  <si>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</si>
  <si>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</si>
  <si>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</si>
  <si>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</si>
  <si>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</si>
  <si>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</si>
  <si>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</si>
  <si>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</si>
  <si>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</si>
  <si>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</si>
  <si>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</si>
  <si>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</si>
  <si>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</si>
  <si>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</si>
  <si>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</si>
  <si>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</si>
  <si>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</si>
  <si>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</si>
  <si>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</si>
  <si>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</si>
  <si>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</si>
  <si>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</si>
  <si>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</si>
  <si>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</si>
  <si>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</si>
  <si>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</si>
  <si>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</si>
  <si>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</si>
  <si>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</si>
  <si>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</si>
  <si>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</si>
  <si>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</si>
  <si>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</si>
  <si>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</si>
  <si>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</si>
  <si>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</si>
  <si>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</si>
  <si>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</si>
  <si>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</si>
  <si>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</si>
  <si>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</si>
  <si>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</si>
  <si>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</si>
  <si>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</si>
  <si>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</si>
  <si>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</si>
  <si>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</si>
  <si>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</si>
  <si>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</si>
  <si>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</si>
  <si>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</si>
  <si>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</si>
  <si>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</si>
  <si>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</si>
  <si>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</si>
  <si>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</si>
  <si>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</si>
  <si>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</si>
  <si>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</si>
  <si>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</si>
  <si>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</si>
  <si>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</si>
  <si>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</si>
  <si>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</si>
  <si>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</si>
  <si>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</si>
  <si>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</si>
  <si>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</si>
  <si>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</si>
  <si>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</si>
  <si>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</si>
  <si>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</si>
  <si>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</si>
  <si>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</si>
  <si>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</si>
  <si>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</si>
  <si>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</si>
  <si>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</si>
  <si>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</si>
  <si>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</si>
  <si>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</si>
  <si>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</si>
  <si>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</si>
  <si>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</si>
  <si>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</si>
  <si>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</si>
  <si>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</si>
  <si>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</si>
  <si>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</si>
  <si>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</si>
  <si>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</si>
  <si>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</si>
  <si>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</si>
  <si>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</si>
  <si>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</si>
  <si>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</si>
  <si>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</si>
  <si>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</si>
  <si>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</si>
  <si>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</si>
  <si>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</si>
  <si>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</si>
  <si>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</si>
  <si>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</si>
  <si>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</si>
  <si>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</si>
  <si>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</si>
  <si>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</si>
  <si>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</si>
  <si>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</si>
  <si>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</si>
  <si>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</si>
  <si>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</si>
  <si>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</si>
  <si>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</si>
  <si>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</si>
  <si>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</si>
  <si>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</si>
  <si>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</si>
  <si>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</si>
  <si>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</si>
  <si>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</si>
  <si>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</si>
  <si>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</si>
  <si>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</si>
  <si>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</si>
  <si>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</si>
  <si>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</si>
  <si>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</si>
  <si>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</si>
  <si>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</si>
  <si>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</si>
  <si>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</si>
  <si>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</si>
  <si>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</si>
  <si>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</si>
  <si>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</si>
  <si>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</si>
  <si>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</si>
  <si>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</si>
  <si>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</si>
  <si>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</si>
  <si>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</si>
  <si>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</si>
  <si>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</si>
  <si>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</si>
  <si>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</si>
  <si>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</si>
  <si>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</si>
  <si>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</si>
  <si>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</si>
  <si>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</si>
  <si>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</si>
  <si>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</si>
  <si>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</si>
  <si>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</si>
  <si>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</si>
  <si>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</si>
  <si>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</si>
  <si>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</si>
  <si>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</si>
  <si>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</si>
  <si>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</si>
  <si>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</si>
  <si>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</si>
  <si>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</si>
  <si>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</si>
  <si>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</si>
  <si>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</si>
  <si>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</si>
  <si>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</si>
  <si>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</si>
  <si>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</si>
  <si>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</si>
  <si>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</si>
  <si>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</si>
  <si>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</si>
  <si>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</si>
  <si>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</si>
  <si>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</si>
  <si>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</si>
  <si>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</si>
  <si>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</si>
  <si>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</si>
  <si>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</si>
  <si>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</si>
  <si>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</si>
  <si>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</si>
  <si>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</si>
  <si>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</si>
  <si>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</si>
  <si>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</si>
  <si>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</si>
  <si>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</si>
  <si>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</si>
  <si>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</si>
  <si>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</si>
  <si>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</si>
  <si>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</si>
  <si>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</si>
  <si>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</si>
  <si>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</si>
  <si>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</si>
  <si>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</si>
  <si>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</si>
  <si>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</si>
  <si>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</si>
  <si>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</si>
  <si>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</si>
  <si>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</si>
  <si>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</si>
  <si>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</si>
  <si>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</si>
  <si>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</si>
  <si>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</si>
  <si>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</si>
  <si>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</si>
  <si>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</si>
  <si>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</si>
  <si>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</si>
  <si>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</si>
  <si>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</si>
  <si>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</si>
  <si>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</si>
  <si>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</si>
  <si>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</si>
  <si>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</si>
  <si>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</si>
  <si>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</si>
  <si>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</si>
  <si>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</si>
  <si>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</si>
  <si>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</si>
  <si>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</si>
  <si>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</si>
  <si>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</si>
  <si>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</si>
  <si>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</si>
  <si>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</si>
  <si>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</si>
  <si>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</si>
  <si>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</si>
  <si>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</si>
  <si>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</si>
  <si>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</si>
  <si>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</si>
  <si>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</si>
  <si>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</si>
  <si>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</si>
  <si>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</si>
  <si>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</si>
  <si>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</si>
  <si>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</si>
  <si>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</si>
  <si>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</si>
  <si>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</si>
  <si>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</si>
  <si>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</si>
  <si>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</si>
  <si>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</si>
  <si>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</si>
  <si>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</si>
  <si>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</si>
  <si>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</si>
  <si>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</si>
  <si>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</si>
  <si>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</si>
  <si>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</si>
  <si>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</si>
  <si>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</si>
  <si>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</si>
  <si>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</si>
  <si>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</si>
  <si>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</si>
  <si>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</si>
  <si>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</si>
  <si>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</si>
  <si>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</si>
  <si>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</si>
  <si>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</si>
  <si>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</si>
  <si>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</si>
  <si>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</si>
  <si>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</si>
  <si>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</si>
  <si>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</si>
  <si>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</si>
  <si>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</si>
  <si>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</si>
  <si>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</si>
  <si>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</si>
  <si>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</si>
  <si>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</si>
  <si>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</si>
  <si>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</si>
  <si>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</si>
  <si>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</si>
  <si>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</si>
  <si>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</si>
  <si>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</si>
  <si>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</si>
  <si>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</si>
  <si>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</si>
  <si>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</si>
  <si>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</si>
  <si>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</si>
  <si>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</si>
  <si>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</si>
  <si>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</si>
  <si>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</si>
  <si>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</si>
  <si>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</si>
  <si>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</si>
  <si>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</si>
  <si>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</si>
  <si>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</si>
  <si>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</si>
  <si>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</si>
  <si>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</si>
  <si>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</si>
  <si>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</si>
  <si>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</si>
  <si>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</si>
  <si>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</si>
  <si>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</si>
  <si>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</si>
  <si>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</si>
  <si>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</si>
  <si>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</si>
  <si>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</si>
  <si>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</si>
  <si>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</si>
  <si>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</si>
  <si>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</si>
  <si>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</si>
  <si>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</si>
  <si>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</si>
  <si>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</si>
  <si>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</si>
  <si>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</si>
  <si>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</si>
  <si>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</si>
  <si>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</si>
  <si>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</si>
  <si>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</si>
  <si>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</si>
  <si>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</si>
  <si>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</si>
  <si>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</si>
  <si>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</si>
  <si>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</si>
  <si>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</si>
  <si>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</si>
  <si>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</si>
  <si>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</si>
  <si>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</si>
  <si>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</si>
  <si>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</si>
  <si>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</si>
  <si>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</si>
  <si>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</si>
  <si>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</si>
  <si>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</si>
  <si>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</si>
  <si>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</si>
  <si>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</si>
  <si>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</si>
  <si>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</si>
  <si>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</si>
  <si>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</si>
  <si>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</si>
  <si>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</si>
  <si>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</si>
  <si>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</si>
  <si>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</si>
  <si>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</si>
  <si>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</si>
  <si>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</si>
  <si>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</si>
  <si>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</si>
  <si>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</si>
  <si>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</si>
  <si>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</si>
  <si>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</si>
  <si>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</si>
  <si>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</si>
  <si>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</si>
  <si>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</si>
  <si>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</si>
  <si>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</si>
  <si>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</si>
  <si>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</si>
  <si>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</si>
  <si>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</si>
  <si>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</si>
  <si>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</si>
  <si>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</si>
  <si>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</si>
  <si>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</si>
  <si>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</si>
  <si>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</si>
  <si>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</si>
  <si>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</si>
  <si>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</si>
  <si>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</si>
  <si>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</si>
  <si>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</si>
  <si>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</si>
  <si>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</si>
  <si>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</si>
  <si>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</si>
  <si>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</si>
  <si>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</si>
  <si>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</si>
  <si>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</si>
  <si>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</si>
  <si>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</si>
  <si>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</si>
  <si>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</si>
  <si>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</si>
  <si>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</si>
  <si>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</si>
  <si>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</si>
  <si>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</si>
  <si>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</si>
  <si>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</si>
  <si>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</si>
  <si>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</si>
  <si>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</si>
  <si>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</si>
  <si>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</si>
  <si>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</si>
  <si>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</si>
  <si>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</si>
  <si>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</si>
  <si>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</si>
  <si>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</si>
  <si>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</si>
  <si>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</si>
  <si>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</si>
  <si>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</si>
  <si>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</si>
  <si>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</si>
  <si>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</si>
  <si>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</si>
  <si>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</si>
  <si>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</si>
  <si>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</si>
  <si>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</si>
  <si>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</si>
  <si>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</si>
  <si>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</si>
  <si>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</si>
  <si>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</si>
  <si>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</si>
  <si>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</si>
  <si>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</si>
  <si>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</si>
  <si>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</si>
  <si>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</si>
  <si>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</si>
  <si>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</si>
  <si>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</si>
  <si>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</si>
  <si>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</si>
  <si>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</si>
  <si>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</si>
  <si>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</si>
  <si>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</si>
  <si>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</si>
  <si>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</si>
  <si>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</si>
  <si>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</si>
  <si>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</si>
  <si>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</si>
  <si>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</si>
  <si>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</si>
  <si>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</si>
  <si>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</si>
  <si>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</si>
  <si>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</si>
  <si>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</si>
  <si>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</si>
  <si>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</si>
  <si>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</si>
  <si>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</si>
  <si>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</si>
  <si>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</si>
  <si>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</si>
  <si>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</si>
  <si>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</si>
  <si>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</si>
  <si>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</si>
  <si>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</si>
  <si>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</si>
  <si>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</si>
  <si>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</si>
  <si>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</si>
  <si>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</si>
  <si>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</si>
  <si>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</si>
  <si>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</si>
  <si>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</si>
  <si>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</si>
  <si>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</si>
  <si>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</si>
  <si>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</si>
  <si>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</si>
  <si>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</si>
  <si>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</si>
  <si>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</si>
  <si>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</si>
  <si>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</si>
  <si>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</si>
  <si>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</si>
  <si>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</si>
  <si>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</si>
  <si>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</si>
  <si>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</si>
  <si>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</si>
  <si>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</si>
  <si>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</si>
  <si>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</si>
  <si>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</si>
  <si>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</si>
  <si>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</si>
  <si>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</si>
  <si>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</si>
  <si>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</si>
  <si>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</si>
  <si>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</si>
  <si>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</si>
  <si>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</si>
  <si>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</si>
  <si>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</si>
  <si>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</si>
  <si>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</si>
  <si>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</si>
  <si>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</si>
  <si>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</si>
  <si>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</si>
  <si>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</si>
  <si>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</si>
  <si>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</si>
  <si>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</si>
  <si>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</si>
  <si>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</si>
  <si>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</si>
  <si>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</si>
  <si>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</si>
  <si>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</si>
  <si>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</si>
  <si>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</si>
  <si>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</si>
  <si>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</si>
  <si>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</si>
  <si>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</si>
  <si>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</si>
  <si>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</si>
  <si>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</si>
  <si>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</si>
  <si>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</si>
  <si>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</si>
  <si>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</si>
  <si>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</si>
  <si>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</si>
  <si>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</si>
  <si>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</si>
  <si>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</si>
  <si>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</si>
  <si>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</si>
  <si>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</si>
  <si>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</si>
  <si>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</si>
  <si>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</si>
  <si>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</si>
  <si>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</si>
  <si>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</si>
  <si>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</si>
  <si>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</si>
  <si>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</si>
  <si>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</si>
  <si>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</si>
  <si>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</si>
  <si>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</si>
  <si>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</si>
  <si>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</si>
  <si>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</si>
  <si>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</si>
  <si>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</si>
  <si>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</si>
  <si>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</si>
  <si>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</si>
  <si>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</si>
  <si>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</si>
  <si>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</si>
  <si>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</si>
  <si>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</si>
  <si>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</si>
  <si>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</si>
  <si>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</si>
  <si>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</si>
  <si>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</si>
  <si>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</si>
  <si>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</si>
  <si>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</si>
  <si>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</si>
  <si>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</si>
  <si>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</si>
  <si>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</si>
  <si>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</si>
  <si>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</si>
  <si>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</si>
  <si>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</si>
  <si>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</si>
  <si>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</si>
  <si>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</si>
  <si>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</si>
  <si>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</si>
  <si>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</si>
  <si>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</si>
  <si>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</si>
  <si>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</si>
  <si>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</si>
  <si>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</si>
  <si>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</si>
  <si>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</si>
  <si>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</si>
  <si>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</si>
  <si>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</si>
  <si>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</si>
  <si>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99740428762</t>
  </si>
  <si>
    <t>04156510</t>
  </si>
  <si>
    <t>030141269</t>
  </si>
  <si>
    <t>KOMUNALAC POŽEGA d.o.o.</t>
  </si>
  <si>
    <t>info@komunalac-pozega.hr</t>
  </si>
  <si>
    <t>www.komunalac-pozega.hr</t>
  </si>
  <si>
    <t>034/316-863</t>
  </si>
  <si>
    <t>Vukovarska 8</t>
  </si>
  <si>
    <t>Marijana Puntarić</t>
  </si>
  <si>
    <t>034-316-863</t>
  </si>
  <si>
    <t>marijana.puntaric@komunalac-pozega.hr</t>
  </si>
  <si>
    <t>14</t>
  </si>
  <si>
    <t>16</t>
  </si>
  <si>
    <t>17</t>
  </si>
  <si>
    <t>18</t>
  </si>
  <si>
    <t>19</t>
  </si>
  <si>
    <t>20</t>
  </si>
  <si>
    <t>21</t>
  </si>
  <si>
    <t>22</t>
  </si>
  <si>
    <t>23</t>
  </si>
  <si>
    <t>24</t>
  </si>
  <si>
    <t>25</t>
  </si>
  <si>
    <t>26</t>
  </si>
  <si>
    <t>27</t>
  </si>
  <si>
    <t>28</t>
  </si>
  <si>
    <t>29</t>
  </si>
  <si>
    <t>4</t>
  </si>
  <si>
    <t>5</t>
  </si>
  <si>
    <t>6</t>
  </si>
  <si>
    <t>7</t>
  </si>
  <si>
    <t>8</t>
  </si>
  <si>
    <t>15</t>
  </si>
  <si>
    <t>9</t>
  </si>
  <si>
    <t>10</t>
  </si>
  <si>
    <t>11</t>
  </si>
  <si>
    <t>12</t>
  </si>
  <si>
    <t>13</t>
  </si>
  <si>
    <t>30</t>
  </si>
  <si>
    <t>51963172472</t>
  </si>
  <si>
    <t>Tomislav Didović dipl. oec.</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</si>
</sst>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2"/>
    </font>
    <font>
      <sz val="10"/>
      <color indexed="8"/>
      <name val="MS Sans Serif"/>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1" fillId="0" borderId="18" xfId="0" applyNumberFormat="1" applyFont="1" applyFill="1" applyBorder="1" applyAlignment="1">
      <alignment horizontal="center" vertical="center"/>
    </xf>
    <xf numFmtId="184"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t="str">
        <f>IF(Bilanca!H10=0,"",Bilanca!H10)</f>
        <v>14</v>
      </c>
      <c r="H3" s="30">
        <f>J3/100*F3+2*K3/100*F3</f>
        <v>1282412.7</v>
      </c>
      <c r="I3" s="31">
        <f>ABS(ROUND(J3,0)-J3)+ABS(ROUND(K3,0)-K3)</f>
        <v>0</v>
      </c>
      <c r="J3" s="31">
        <f>Bilanca!I10</f>
        <v>18877023</v>
      </c>
      <c r="K3" s="31">
        <f>Bilanca!J10</f>
        <v>22621806</v>
      </c>
    </row>
    <row r="4" spans="1:11" ht="12.75">
      <c r="A4" s="4" t="s">
        <v>1088</v>
      </c>
      <c r="B4" s="29" t="s">
        <v>1888</v>
      </c>
      <c r="D4" s="4" t="s">
        <v>1521</v>
      </c>
      <c r="E4" s="4">
        <v>1</v>
      </c>
      <c r="F4" s="4">
        <f>Bilanca!G11</f>
        <v>3</v>
      </c>
      <c r="G4" s="4" t="str">
        <f>IF(Bilanca!H11=0,"",Bilanca!H11)</f>
        <v>14</v>
      </c>
      <c r="H4" s="30">
        <f>J4/100*F4+2*K4/100*F4</f>
        <v>58985.55</v>
      </c>
      <c r="I4" s="31">
        <f>ABS(ROUND(J4,0)-J4)+ABS(ROUND(K4,0)-K4)</f>
        <v>0</v>
      </c>
      <c r="J4" s="31">
        <f>Bilanca!I11</f>
        <v>610049</v>
      </c>
      <c r="K4" s="31">
        <f>Bilanca!J11</f>
        <v>678068</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04156510</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030141269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99740428762</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KOMUNALAC POŽEGA d.o.o.</v>
      </c>
      <c r="D9" s="4" t="s">
        <v>1521</v>
      </c>
      <c r="E9" s="4">
        <v>1</v>
      </c>
      <c r="F9" s="4">
        <f>Bilanca!G16</f>
        <v>8</v>
      </c>
      <c r="G9" s="4" t="str">
        <f>IF(Bilanca!H16=0,"",Bilanca!H16)</f>
        <v>14</v>
      </c>
      <c r="H9" s="30">
        <f t="shared" si="0"/>
        <v>0</v>
      </c>
      <c r="I9" s="31">
        <f t="shared" si="1"/>
        <v>0</v>
      </c>
      <c r="J9" s="31">
        <f>Bilanca!I16</f>
        <v>0</v>
      </c>
      <c r="K9" s="31">
        <f>Bilanca!J16</f>
        <v>0</v>
      </c>
    </row>
    <row r="10" spans="1:11" ht="12.75">
      <c r="A10" s="4" t="s">
        <v>2355</v>
      </c>
      <c r="B10" s="29" t="str">
        <f>TEXT(RefStr!C31,"00000")</f>
        <v>34000</v>
      </c>
      <c r="D10" s="4" t="s">
        <v>1521</v>
      </c>
      <c r="E10" s="4">
        <v>1</v>
      </c>
      <c r="F10" s="4">
        <f>Bilanca!G17</f>
        <v>9</v>
      </c>
      <c r="G10" s="4" t="str">
        <f>IF(Bilanca!H17=0,"",Bilanca!H17)</f>
        <v>14</v>
      </c>
      <c r="H10" s="30">
        <f t="shared" si="0"/>
        <v>176956.65</v>
      </c>
      <c r="I10" s="31">
        <f t="shared" si="1"/>
        <v>0</v>
      </c>
      <c r="J10" s="31">
        <f>Bilanca!I17</f>
        <v>610049</v>
      </c>
      <c r="K10" s="31">
        <f>Bilanca!J17</f>
        <v>678068</v>
      </c>
    </row>
    <row r="11" spans="1:11" ht="12.75">
      <c r="A11" s="4" t="s">
        <v>2356</v>
      </c>
      <c r="B11" s="29" t="str">
        <f>TRIM(RefStr!F31)</f>
        <v>Požega</v>
      </c>
      <c r="D11" s="4" t="s">
        <v>1521</v>
      </c>
      <c r="E11" s="4">
        <v>1</v>
      </c>
      <c r="F11" s="4">
        <f>Bilanca!G18</f>
        <v>10</v>
      </c>
      <c r="G11" s="4" t="str">
        <f>IF(Bilanca!H18=0,"",Bilanca!H18)</f>
        <v>14</v>
      </c>
      <c r="H11" s="30">
        <f t="shared" si="0"/>
        <v>6215445</v>
      </c>
      <c r="I11" s="31">
        <f t="shared" si="1"/>
        <v>0</v>
      </c>
      <c r="J11" s="31">
        <f>Bilanca!I18</f>
        <v>18266974</v>
      </c>
      <c r="K11" s="31">
        <f>Bilanca!J18</f>
        <v>21943738</v>
      </c>
    </row>
    <row r="12" spans="1:11" ht="12.75">
      <c r="A12" s="4" t="s">
        <v>2357</v>
      </c>
      <c r="B12" s="29" t="str">
        <f>TRIM(RefStr!C33)</f>
        <v>Vukovarska 8</v>
      </c>
      <c r="D12" s="4" t="s">
        <v>1521</v>
      </c>
      <c r="E12" s="4">
        <v>1</v>
      </c>
      <c r="F12" s="4">
        <f>Bilanca!G19</f>
        <v>11</v>
      </c>
      <c r="G12" s="4" t="str">
        <f>IF(Bilanca!H19=0,"",Bilanca!H19)</f>
        <v>14</v>
      </c>
      <c r="H12" s="30">
        <f t="shared" si="0"/>
        <v>1409011.8900000001</v>
      </c>
      <c r="I12" s="31">
        <f t="shared" si="1"/>
        <v>0</v>
      </c>
      <c r="J12" s="31">
        <f>Bilanca!I19</f>
        <v>4638373</v>
      </c>
      <c r="K12" s="31">
        <f>Bilanca!J19</f>
        <v>4085413</v>
      </c>
    </row>
    <row r="13" spans="1:11" ht="12.75">
      <c r="A13" s="4" t="s">
        <v>1193</v>
      </c>
      <c r="B13" s="29" t="str">
        <f>TRIM(RefStr!C35)</f>
        <v>info@komunalac-pozega.hr</v>
      </c>
      <c r="D13" s="4" t="s">
        <v>1521</v>
      </c>
      <c r="E13" s="4">
        <v>1</v>
      </c>
      <c r="F13" s="4">
        <f>Bilanca!G20</f>
        <v>12</v>
      </c>
      <c r="G13" s="4" t="str">
        <f>IF(Bilanca!H20=0,"",Bilanca!H20)</f>
        <v>14</v>
      </c>
      <c r="H13" s="30">
        <f t="shared" si="0"/>
        <v>3924821.4000000004</v>
      </c>
      <c r="I13" s="31">
        <f t="shared" si="1"/>
        <v>0</v>
      </c>
      <c r="J13" s="31">
        <f>Bilanca!I20</f>
        <v>4940617</v>
      </c>
      <c r="K13" s="31">
        <f>Bilanca!J20</f>
        <v>13883114</v>
      </c>
    </row>
    <row r="14" spans="1:11" ht="12.75">
      <c r="A14" s="4" t="s">
        <v>1194</v>
      </c>
      <c r="B14" s="29" t="str">
        <f>TRIM(RefStr!C37)</f>
        <v>www.komunalac-pozega.hr</v>
      </c>
      <c r="D14" s="4" t="s">
        <v>1521</v>
      </c>
      <c r="E14" s="4">
        <v>1</v>
      </c>
      <c r="F14" s="4">
        <f>Bilanca!G21</f>
        <v>13</v>
      </c>
      <c r="G14" s="4" t="str">
        <f>IF(Bilanca!H21=0,"",Bilanca!H21)</f>
        <v>14</v>
      </c>
      <c r="H14" s="30">
        <f t="shared" si="0"/>
        <v>279446.18000000005</v>
      </c>
      <c r="I14" s="31">
        <f t="shared" si="1"/>
        <v>0</v>
      </c>
      <c r="J14" s="31">
        <f>Bilanca!I21</f>
        <v>866132</v>
      </c>
      <c r="K14" s="31">
        <f>Bilanca!J21</f>
        <v>641727</v>
      </c>
    </row>
    <row r="15" spans="1:11" ht="12.75">
      <c r="A15" s="4" t="s">
        <v>2360</v>
      </c>
      <c r="B15" s="29" t="str">
        <f>TEXT(RefStr!J39,"00")</f>
        <v>11</v>
      </c>
      <c r="D15" s="4" t="s">
        <v>1521</v>
      </c>
      <c r="E15" s="4">
        <v>1</v>
      </c>
      <c r="F15" s="4">
        <f>Bilanca!G22</f>
        <v>14</v>
      </c>
      <c r="G15" s="4" t="str">
        <f>IF(Bilanca!H22=0,"",Bilanca!H22)</f>
        <v>14</v>
      </c>
      <c r="H15" s="30">
        <f t="shared" si="0"/>
        <v>431552.1</v>
      </c>
      <c r="I15" s="31">
        <f t="shared" si="1"/>
        <v>0</v>
      </c>
      <c r="J15" s="31">
        <f>Bilanca!I22</f>
        <v>1204377</v>
      </c>
      <c r="K15" s="31">
        <f>Bilanca!J22</f>
        <v>939069</v>
      </c>
    </row>
    <row r="16" spans="1:11" ht="12.75">
      <c r="A16" s="4" t="s">
        <v>2359</v>
      </c>
      <c r="B16" s="29" t="str">
        <f>TEXT(RefStr!C39,"000")</f>
        <v>351</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t="str">
        <f>IF(Bilanca!H25=0,"",Bilanca!H25)</f>
        <v>14</v>
      </c>
      <c r="H18" s="30">
        <f t="shared" si="0"/>
        <v>1380381.13</v>
      </c>
      <c r="I18" s="31">
        <f t="shared" si="1"/>
        <v>0</v>
      </c>
      <c r="J18" s="31">
        <f>Bilanca!I25</f>
        <v>5492253</v>
      </c>
      <c r="K18" s="31">
        <f>Bilanca!J25</f>
        <v>1313818</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t="str">
        <f>IF(Bilanca!H27=0,"",Bilanca!H27)</f>
        <v>14</v>
      </c>
      <c r="H20" s="30">
        <f t="shared" si="0"/>
        <v>624419.04</v>
      </c>
      <c r="I20" s="31">
        <f t="shared" si="1"/>
        <v>0</v>
      </c>
      <c r="J20" s="31">
        <f>Bilanca!I27</f>
        <v>1125222</v>
      </c>
      <c r="K20" s="31">
        <f>Bilanca!J27</f>
        <v>1080597</v>
      </c>
    </row>
    <row r="21" spans="1:11" ht="12.75">
      <c r="A21" s="4" t="s">
        <v>1198</v>
      </c>
      <c r="B21" s="29">
        <f>IF(RefStr!C50&gt;0,IF(RefStr!C50=1,4,RefStr!C50-1),RefStr!C50)</f>
        <v>2</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114</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124</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87</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96</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11701682.53</v>
      </c>
      <c r="I38" s="31">
        <f t="shared" si="1"/>
        <v>0</v>
      </c>
      <c r="J38" s="31">
        <f>Bilanca!I45</f>
        <v>13610511</v>
      </c>
      <c r="K38" s="31">
        <f>Bilanca!J45</f>
        <v>9007829</v>
      </c>
    </row>
    <row r="39" spans="1:11" ht="12.75">
      <c r="A39" s="4" t="s">
        <v>1216</v>
      </c>
      <c r="B39" s="29" t="str">
        <f>RefStr!C68</f>
        <v>Marijana Puntarić</v>
      </c>
      <c r="D39" s="4" t="s">
        <v>1521</v>
      </c>
      <c r="E39" s="4">
        <v>1</v>
      </c>
      <c r="F39" s="4">
        <f>Bilanca!G46</f>
        <v>38</v>
      </c>
      <c r="G39" s="4" t="str">
        <f>IF(Bilanca!H46=0,"",Bilanca!H46)</f>
        <v>16</v>
      </c>
      <c r="H39" s="30">
        <f t="shared" si="0"/>
        <v>1315430.7999999998</v>
      </c>
      <c r="I39" s="31">
        <f t="shared" si="1"/>
        <v>0</v>
      </c>
      <c r="J39" s="31">
        <f>Bilanca!I46</f>
        <v>1008798</v>
      </c>
      <c r="K39" s="31">
        <f>Bilanca!J46</f>
        <v>1226431</v>
      </c>
    </row>
    <row r="40" spans="1:11" ht="12.75">
      <c r="A40" s="4" t="s">
        <v>1217</v>
      </c>
      <c r="B40" s="29" t="str">
        <f>TRIM(RefStr!C70)</f>
        <v>034-316-863</v>
      </c>
      <c r="D40" s="4" t="s">
        <v>1521</v>
      </c>
      <c r="E40" s="4">
        <v>1</v>
      </c>
      <c r="F40" s="4">
        <f>Bilanca!G47</f>
        <v>39</v>
      </c>
      <c r="G40" s="4" t="str">
        <f>IF(Bilanca!H47=0,"",Bilanca!H47)</f>
        <v>16</v>
      </c>
      <c r="H40" s="30">
        <f t="shared" si="0"/>
        <v>798065.1900000001</v>
      </c>
      <c r="I40" s="31">
        <f t="shared" si="1"/>
        <v>0</v>
      </c>
      <c r="J40" s="31">
        <f>Bilanca!I47</f>
        <v>681385</v>
      </c>
      <c r="K40" s="31">
        <f>Bilanca!J47</f>
        <v>682468</v>
      </c>
    </row>
    <row r="41" spans="1:11" ht="12.75">
      <c r="A41" s="4" t="s">
        <v>1218</v>
      </c>
      <c r="B41" s="29" t="s">
        <v>239</v>
      </c>
      <c r="D41" s="4" t="s">
        <v>1521</v>
      </c>
      <c r="E41" s="4">
        <v>1</v>
      </c>
      <c r="F41" s="4">
        <f>Bilanca!G48</f>
        <v>40</v>
      </c>
      <c r="G41" s="4" t="str">
        <f>IF(Bilanca!H48=0,"",Bilanca!H48)</f>
        <v>16</v>
      </c>
      <c r="H41" s="30">
        <f t="shared" si="0"/>
        <v>118323.59999999999</v>
      </c>
      <c r="I41" s="31">
        <f t="shared" si="1"/>
        <v>0</v>
      </c>
      <c r="J41" s="31">
        <f>Bilanca!I48</f>
        <v>75143</v>
      </c>
      <c r="K41" s="31">
        <f>Bilanca!J48</f>
        <v>110333</v>
      </c>
    </row>
    <row r="42" spans="1:11" ht="12.75">
      <c r="A42" s="4" t="s">
        <v>531</v>
      </c>
      <c r="B42" s="29" t="str">
        <f>TRIM(RefStr!C72)</f>
        <v>marijana.puntaric@komunalac-pozega.hr</v>
      </c>
      <c r="D42" s="4" t="s">
        <v>1521</v>
      </c>
      <c r="E42" s="4">
        <v>1</v>
      </c>
      <c r="F42" s="4">
        <f>Bilanca!G49</f>
        <v>41</v>
      </c>
      <c r="G42" s="4" t="str">
        <f>IF(Bilanca!H49=0,"",Bilanca!H49)</f>
        <v>16</v>
      </c>
      <c r="H42" s="30">
        <f t="shared" si="0"/>
        <v>458589.1</v>
      </c>
      <c r="I42" s="31">
        <f t="shared" si="1"/>
        <v>0</v>
      </c>
      <c r="J42" s="31">
        <f>Bilanca!I49</f>
        <v>251664</v>
      </c>
      <c r="K42" s="31">
        <f>Bilanca!J49</f>
        <v>433423</v>
      </c>
    </row>
    <row r="43" spans="1:11" ht="12.75">
      <c r="A43" s="4" t="s">
        <v>530</v>
      </c>
      <c r="B43" s="29" t="str">
        <f>TRIM(RefStr!A75)</f>
        <v>Tomislav Didović dipl. oec.</v>
      </c>
      <c r="D43" s="4" t="s">
        <v>1521</v>
      </c>
      <c r="E43" s="4">
        <v>1</v>
      </c>
      <c r="F43" s="4">
        <f>Bilanca!G50</f>
        <v>42</v>
      </c>
      <c r="G43" s="4" t="str">
        <f>IF(Bilanca!H50=0,"",Bilanca!H50)</f>
        <v>16</v>
      </c>
      <c r="H43" s="30">
        <f t="shared" si="0"/>
        <v>428.4</v>
      </c>
      <c r="I43" s="31">
        <f t="shared" si="1"/>
        <v>0</v>
      </c>
      <c r="J43" s="31">
        <f>Bilanca!I50</f>
        <v>606</v>
      </c>
      <c r="K43" s="31">
        <f>Bilanca!J50</f>
        <v>207</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5737420.38</v>
      </c>
      <c r="I47" s="31">
        <f t="shared" si="3"/>
        <v>0</v>
      </c>
      <c r="J47" s="31">
        <f>Bilanca!I54</f>
        <v>3226149</v>
      </c>
      <c r="K47" s="31">
        <f>Bilanca!J54</f>
        <v>4623252</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DA</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t="str">
        <f>IF(Bilanca!H57=0,"",Bilanca!H57)</f>
        <v>17</v>
      </c>
      <c r="H50" s="30">
        <f t="shared" si="2"/>
        <v>5926402.02</v>
      </c>
      <c r="I50" s="31">
        <f t="shared" si="3"/>
        <v>0</v>
      </c>
      <c r="J50" s="31">
        <f>Bilanca!I57</f>
        <v>3094994</v>
      </c>
      <c r="K50" s="31">
        <f>Bilanca!J57</f>
        <v>4499852</v>
      </c>
    </row>
    <row r="51" spans="1:11" ht="12.75">
      <c r="A51" s="4" t="s">
        <v>288</v>
      </c>
      <c r="B51" s="29" t="str">
        <f>RefStr!I60</f>
        <v>DA</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t="str">
        <f>IF(Bilanca!H59=0,"",Bilanca!H59)</f>
        <v>18</v>
      </c>
      <c r="H52" s="30">
        <f t="shared" si="2"/>
        <v>171805.23</v>
      </c>
      <c r="I52" s="31">
        <f t="shared" si="3"/>
        <v>0</v>
      </c>
      <c r="J52" s="31">
        <f>Bilanca!I59</f>
        <v>93747</v>
      </c>
      <c r="K52" s="31">
        <f>Bilanca!J59</f>
        <v>121563</v>
      </c>
    </row>
    <row r="53" spans="1:11" ht="12.75">
      <c r="A53" s="4" t="s">
        <v>532</v>
      </c>
      <c r="B53" s="29" t="str">
        <f>RefStr!I56</f>
        <v>DA</v>
      </c>
      <c r="D53" s="4" t="s">
        <v>1521</v>
      </c>
      <c r="E53" s="4">
        <v>1</v>
      </c>
      <c r="F53" s="4">
        <f>Bilanca!G60</f>
        <v>52</v>
      </c>
      <c r="G53" s="4" t="str">
        <f>IF(Bilanca!H60=0,"",Bilanca!H60)</f>
        <v>19</v>
      </c>
      <c r="H53" s="30">
        <f t="shared" si="2"/>
        <v>21362.64</v>
      </c>
      <c r="I53" s="31">
        <f t="shared" si="3"/>
        <v>0</v>
      </c>
      <c r="J53" s="31">
        <f>Bilanca!I60</f>
        <v>37408</v>
      </c>
      <c r="K53" s="31">
        <f>Bilanca!J60</f>
        <v>1837</v>
      </c>
    </row>
    <row r="54" spans="1:11" ht="12.75">
      <c r="A54" s="4" t="s">
        <v>533</v>
      </c>
      <c r="B54" s="29" t="str">
        <f>RefStr!I62</f>
        <v>DA</v>
      </c>
      <c r="D54" s="4" t="s">
        <v>1521</v>
      </c>
      <c r="E54" s="4">
        <v>1</v>
      </c>
      <c r="F54" s="4">
        <f>Bilanca!G61</f>
        <v>53</v>
      </c>
      <c r="G54" s="4">
        <f>IF(Bilanca!H61=0,"",Bilanca!H61)</f>
      </c>
      <c r="H54" s="30">
        <f t="shared" si="2"/>
        <v>795000</v>
      </c>
      <c r="I54" s="31">
        <f t="shared" si="3"/>
        <v>0</v>
      </c>
      <c r="J54" s="31">
        <f>Bilanca!I61</f>
        <v>1500000</v>
      </c>
      <c r="K54" s="31">
        <f>Bilanca!J61</f>
        <v>0</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2744837203.7200003</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t="str">
        <f>IF(Bilanca!H69=0,"",Bilanca!H69)</f>
        <v>20</v>
      </c>
      <c r="H62" s="30">
        <f t="shared" si="2"/>
        <v>915000</v>
      </c>
      <c r="I62" s="31">
        <f t="shared" si="3"/>
        <v>0</v>
      </c>
      <c r="J62" s="31">
        <f>Bilanca!I69</f>
        <v>1500000</v>
      </c>
      <c r="K62" s="31">
        <f>Bilanca!J69</f>
        <v>0</v>
      </c>
    </row>
    <row r="63" spans="1:11" ht="12.75">
      <c r="A63" s="4" t="s">
        <v>777</v>
      </c>
      <c r="B63" s="29" t="str">
        <f>IF(ISNUMBER(VALUE(RefStr!L21)),TEXT(INT(VALUE(RefStr!L21)),"00000000000"),"")</f>
        <v>51963172472</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t="str">
        <f>IF(Bilanca!H71=0,"",Bilanca!H71)</f>
        <v>21</v>
      </c>
      <c r="H64" s="30">
        <f t="shared" si="2"/>
        <v>8940869.280000001</v>
      </c>
      <c r="I64" s="31">
        <f t="shared" si="3"/>
        <v>0</v>
      </c>
      <c r="J64" s="31">
        <f>Bilanca!I71</f>
        <v>7875564</v>
      </c>
      <c r="K64" s="31">
        <f>Bilanca!J71</f>
        <v>3158146</v>
      </c>
    </row>
    <row r="65" spans="1:11" ht="12.75">
      <c r="A65" s="4" t="s">
        <v>687</v>
      </c>
      <c r="B65" s="29" t="str">
        <f>RefStr!N19</f>
        <v>HSFI</v>
      </c>
      <c r="D65" s="4" t="s">
        <v>1521</v>
      </c>
      <c r="E65" s="4">
        <v>1</v>
      </c>
      <c r="F65" s="4">
        <f>Bilanca!G72</f>
        <v>64</v>
      </c>
      <c r="G65" s="4" t="str">
        <f>IF(Bilanca!H72=0,"",Bilanca!H72)</f>
        <v>22</v>
      </c>
      <c r="H65" s="30">
        <f t="shared" si="2"/>
        <v>256844.15999999997</v>
      </c>
      <c r="I65" s="31">
        <f t="shared" si="3"/>
        <v>0</v>
      </c>
      <c r="J65" s="31">
        <f>Bilanca!I72</f>
        <v>119203</v>
      </c>
      <c r="K65" s="31">
        <f>Bilanca!J72</f>
        <v>141058</v>
      </c>
    </row>
    <row r="66" spans="1:11" ht="12.75">
      <c r="A66" s="4" t="s">
        <v>688</v>
      </c>
      <c r="B66" s="29">
        <f>RefStr!C23</f>
        <v>1</v>
      </c>
      <c r="D66" s="4" t="s">
        <v>1521</v>
      </c>
      <c r="E66" s="4">
        <v>1</v>
      </c>
      <c r="F66" s="4">
        <f>Bilanca!G73</f>
        <v>65</v>
      </c>
      <c r="G66" s="4">
        <f>IF(Bilanca!H73=0,"",Bilanca!H73)</f>
      </c>
      <c r="H66" s="30">
        <f t="shared" si="2"/>
        <v>62496279.95</v>
      </c>
      <c r="I66" s="31">
        <f t="shared" si="3"/>
        <v>0</v>
      </c>
      <c r="J66" s="31">
        <f>Bilanca!I73</f>
        <v>32606737</v>
      </c>
      <c r="K66" s="31">
        <f>Bilanca!J73</f>
        <v>31770693</v>
      </c>
    </row>
    <row r="67" spans="1:11" ht="12.75">
      <c r="A67" s="4" t="s">
        <v>689</v>
      </c>
      <c r="B67" s="29" t="str">
        <f>RefStr!L35</f>
        <v>034/316-863</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55516464.650000006</v>
      </c>
      <c r="I68" s="31">
        <f t="shared" si="3"/>
        <v>0</v>
      </c>
      <c r="J68" s="31">
        <f>Bilanca!I76</f>
        <v>27156703</v>
      </c>
      <c r="K68" s="31">
        <f>Bilanca!J76</f>
        <v>27851846</v>
      </c>
    </row>
    <row r="69" spans="1:11" ht="12.75">
      <c r="A69" s="4" t="s">
        <v>691</v>
      </c>
      <c r="B69" s="29">
        <f>RefStr!M46</f>
        <v>0</v>
      </c>
      <c r="D69" s="4" t="s">
        <v>1521</v>
      </c>
      <c r="E69" s="4">
        <v>1</v>
      </c>
      <c r="F69" s="4">
        <f>Bilanca!G77</f>
        <v>68</v>
      </c>
      <c r="G69" s="4" t="str">
        <f>IF(Bilanca!H77=0,"",Bilanca!H77)</f>
        <v>23</v>
      </c>
      <c r="H69" s="30">
        <f t="shared" si="2"/>
        <v>31556760</v>
      </c>
      <c r="I69" s="31">
        <f t="shared" si="3"/>
        <v>0</v>
      </c>
      <c r="J69" s="31">
        <f>Bilanca!I77</f>
        <v>15469000</v>
      </c>
      <c r="K69" s="31">
        <f>Bilanca!J77</f>
        <v>15469000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t="str">
        <f>IF(Bilanca!H79=0,"",Bilanca!H79)</f>
        <v>23</v>
      </c>
      <c r="H71" s="30">
        <f t="shared" si="2"/>
        <v>190335.6</v>
      </c>
      <c r="I71" s="31">
        <f t="shared" si="3"/>
        <v>0</v>
      </c>
      <c r="J71" s="31">
        <f>Bilanca!I79</f>
        <v>90636</v>
      </c>
      <c r="K71" s="31">
        <f>Bilanca!J79</f>
        <v>90636</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t="str">
        <f>IF(Bilanca!H84=0,"",Bilanca!H84)</f>
        <v>23</v>
      </c>
      <c r="H76" s="30">
        <f t="shared" si="2"/>
        <v>203931</v>
      </c>
      <c r="I76" s="31">
        <f t="shared" si="3"/>
        <v>0</v>
      </c>
      <c r="J76" s="31">
        <f>Bilanca!I84</f>
        <v>90636</v>
      </c>
      <c r="K76" s="31">
        <f>Bilanca!J84</f>
        <v>90636</v>
      </c>
    </row>
    <row r="77" spans="4:11" ht="12.75">
      <c r="D77" s="4" t="s">
        <v>1521</v>
      </c>
      <c r="E77" s="4">
        <v>1</v>
      </c>
      <c r="F77" s="4">
        <f>Bilanca!G85</f>
        <v>76</v>
      </c>
      <c r="G77" s="4" t="str">
        <f>IF(Bilanca!H85=0,"",Bilanca!H85)</f>
        <v>23</v>
      </c>
      <c r="H77" s="30">
        <f t="shared" si="2"/>
        <v>305805</v>
      </c>
      <c r="I77" s="31">
        <f t="shared" si="3"/>
        <v>0</v>
      </c>
      <c r="J77" s="31">
        <f>Bilanca!I85</f>
        <v>134125</v>
      </c>
      <c r="K77" s="31">
        <f>Bilanca!J85</f>
        <v>134125</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t="str">
        <f>IF(Bilanca!H90=0,"",Bilanca!H90)</f>
        <v>23</v>
      </c>
      <c r="H82" s="30">
        <f t="shared" si="2"/>
        <v>26439132.24</v>
      </c>
      <c r="I82" s="31">
        <f t="shared" si="3"/>
        <v>0</v>
      </c>
      <c r="J82" s="31">
        <f>Bilanca!I90</f>
        <v>9715020</v>
      </c>
      <c r="K82" s="31">
        <f>Bilanca!J90</f>
        <v>11462942</v>
      </c>
    </row>
    <row r="83" spans="4:11" ht="12.75">
      <c r="D83" s="4" t="s">
        <v>1521</v>
      </c>
      <c r="E83" s="4">
        <v>1</v>
      </c>
      <c r="F83" s="4">
        <f>Bilanca!G91</f>
        <v>82</v>
      </c>
      <c r="G83" s="4" t="str">
        <f>IF(Bilanca!H91=0,"",Bilanca!H91)</f>
        <v>23</v>
      </c>
      <c r="H83" s="30">
        <f t="shared" si="2"/>
        <v>26765541.279999997</v>
      </c>
      <c r="I83" s="31">
        <f t="shared" si="3"/>
        <v>0</v>
      </c>
      <c r="J83" s="31">
        <f>Bilanca!I91</f>
        <v>9715020</v>
      </c>
      <c r="K83" s="31">
        <f>Bilanca!J91</f>
        <v>11462942</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t="str">
        <f>IF(Bilanca!H93=0,"",Bilanca!H93)</f>
        <v>23</v>
      </c>
      <c r="H85" s="30">
        <f>J85/100*F85+2*K85/100*F85</f>
        <v>2636094.7199999997</v>
      </c>
      <c r="I85" s="31">
        <f>ABS(ROUND(J85,0)-J85)+ABS(ROUND(K85,0)-K85)</f>
        <v>0</v>
      </c>
      <c r="J85" s="31">
        <f>Bilanca!I93</f>
        <v>1747922</v>
      </c>
      <c r="K85" s="31">
        <f>Bilanca!J93</f>
        <v>695143</v>
      </c>
    </row>
    <row r="86" spans="4:11" ht="12.75">
      <c r="D86" s="4" t="s">
        <v>1521</v>
      </c>
      <c r="E86" s="4">
        <v>1</v>
      </c>
      <c r="F86" s="4">
        <f>Bilanca!G94</f>
        <v>85</v>
      </c>
      <c r="G86" s="4" t="str">
        <f>IF(Bilanca!H94=0,"",Bilanca!H94)</f>
        <v>23</v>
      </c>
      <c r="H86" s="30">
        <f>J86/100*F86+2*K86/100*F86</f>
        <v>2667476.8000000003</v>
      </c>
      <c r="I86" s="31">
        <f>ABS(ROUND(J86,0)-J86)+ABS(ROUND(K86,0)-K86)</f>
        <v>0</v>
      </c>
      <c r="J86" s="31">
        <f>Bilanca!I94</f>
        <v>1747922</v>
      </c>
      <c r="K86" s="31">
        <f>Bilanca!J94</f>
        <v>695143</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141676.48</v>
      </c>
      <c r="I89" s="31">
        <f t="shared" si="5"/>
        <v>0</v>
      </c>
      <c r="J89" s="31">
        <f>Bilanca!I97</f>
        <v>27780</v>
      </c>
      <c r="K89" s="31">
        <f>Bilanca!J97</f>
        <v>66608</v>
      </c>
    </row>
    <row r="90" spans="4:11" ht="12.75">
      <c r="D90" s="4" t="s">
        <v>1521</v>
      </c>
      <c r="E90" s="4">
        <v>1</v>
      </c>
      <c r="F90" s="4">
        <f>Bilanca!G98</f>
        <v>89</v>
      </c>
      <c r="G90" s="4">
        <f>IF(Bilanca!H98=0,"",Bilanca!H98)</f>
      </c>
      <c r="H90" s="30">
        <f t="shared" si="4"/>
        <v>143286.44</v>
      </c>
      <c r="I90" s="31">
        <f t="shared" si="5"/>
        <v>0</v>
      </c>
      <c r="J90" s="31">
        <f>Bilanca!I98</f>
        <v>27780</v>
      </c>
      <c r="K90" s="31">
        <f>Bilanca!J98</f>
        <v>66608</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t="str">
        <f>IF(Bilanca!H104=0,"",Bilanca!H104)</f>
        <v>24</v>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t="str">
        <f>IF(Bilanca!H110=0,"",Bilanca!H110)</f>
        <v>24</v>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10421305.66</v>
      </c>
      <c r="I108" s="31">
        <f t="shared" si="5"/>
        <v>0</v>
      </c>
      <c r="J108" s="31">
        <f>Bilanca!I116</f>
        <v>4203620</v>
      </c>
      <c r="K108" s="31">
        <f>Bilanca!J116</f>
        <v>2767959</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11200</v>
      </c>
      <c r="I113" s="31">
        <f t="shared" si="5"/>
        <v>0</v>
      </c>
      <c r="J113" s="31">
        <f>Bilanca!I121</f>
        <v>10000</v>
      </c>
      <c r="K113" s="31">
        <f>Bilanca!J121</f>
        <v>0</v>
      </c>
    </row>
    <row r="114" spans="4:11" ht="12.75">
      <c r="D114" s="4" t="s">
        <v>1521</v>
      </c>
      <c r="E114" s="4">
        <v>1</v>
      </c>
      <c r="F114" s="4">
        <f>Bilanca!G122</f>
        <v>113</v>
      </c>
      <c r="G114" s="4" t="str">
        <f>IF(Bilanca!H122=0,"",Bilanca!H122)</f>
        <v>24</v>
      </c>
      <c r="H114" s="30">
        <f t="shared" si="4"/>
        <v>759718.2100000001</v>
      </c>
      <c r="I114" s="31">
        <f t="shared" si="5"/>
        <v>0</v>
      </c>
      <c r="J114" s="31">
        <f>Bilanca!I122</f>
        <v>575581</v>
      </c>
      <c r="K114" s="31">
        <f>Bilanca!J122</f>
        <v>48368</v>
      </c>
    </row>
    <row r="115" spans="4:11" ht="12.75">
      <c r="D115" s="4" t="s">
        <v>1521</v>
      </c>
      <c r="E115" s="4">
        <v>1</v>
      </c>
      <c r="F115" s="4">
        <f>Bilanca!G123</f>
        <v>114</v>
      </c>
      <c r="G115" s="4" t="str">
        <f>IF(Bilanca!H123=0,"",Bilanca!H123)</f>
        <v>25</v>
      </c>
      <c r="H115" s="30">
        <f t="shared" si="4"/>
        <v>260207.28</v>
      </c>
      <c r="I115" s="31">
        <f t="shared" si="5"/>
        <v>0</v>
      </c>
      <c r="J115" s="31">
        <f>Bilanca!I123</f>
        <v>0</v>
      </c>
      <c r="K115" s="31">
        <f>Bilanca!J123</f>
        <v>114126</v>
      </c>
    </row>
    <row r="116" spans="4:11" ht="12.75">
      <c r="D116" s="4" t="s">
        <v>1521</v>
      </c>
      <c r="E116" s="4">
        <v>1</v>
      </c>
      <c r="F116" s="4">
        <f>Bilanca!G124</f>
        <v>115</v>
      </c>
      <c r="G116" s="4" t="str">
        <f>IF(Bilanca!H124=0,"",Bilanca!H124)</f>
        <v>26</v>
      </c>
      <c r="H116" s="30">
        <f t="shared" si="4"/>
        <v>4397375.75</v>
      </c>
      <c r="I116" s="31">
        <f t="shared" si="5"/>
        <v>0</v>
      </c>
      <c r="J116" s="31">
        <f>Bilanca!I124</f>
        <v>2234255</v>
      </c>
      <c r="K116" s="31">
        <f>Bilanca!J124</f>
        <v>794775</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t="str">
        <f>IF(Bilanca!H126=0,"",Bilanca!H126)</f>
        <v>27</v>
      </c>
      <c r="H118" s="30">
        <f t="shared" si="4"/>
        <v>2816111.6099999994</v>
      </c>
      <c r="I118" s="31">
        <f t="shared" si="5"/>
        <v>0</v>
      </c>
      <c r="J118" s="31">
        <f>Bilanca!I126</f>
        <v>689773</v>
      </c>
      <c r="K118" s="31">
        <f>Bilanca!J126</f>
        <v>858580</v>
      </c>
    </row>
    <row r="119" spans="4:11" ht="12.75">
      <c r="D119" s="4" t="s">
        <v>1521</v>
      </c>
      <c r="E119" s="4">
        <v>1</v>
      </c>
      <c r="F119" s="4">
        <f>Bilanca!G127</f>
        <v>118</v>
      </c>
      <c r="G119" s="4" t="str">
        <f>IF(Bilanca!H127=0,"",Bilanca!H127)</f>
        <v>28</v>
      </c>
      <c r="H119" s="30">
        <f t="shared" si="4"/>
        <v>2830496.68</v>
      </c>
      <c r="I119" s="31">
        <f t="shared" si="5"/>
        <v>0</v>
      </c>
      <c r="J119" s="31">
        <f>Bilanca!I127</f>
        <v>671742</v>
      </c>
      <c r="K119" s="31">
        <f>Bilanca!J127</f>
        <v>863492</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t="str">
        <f>IF(Bilanca!H130=0,"",Bilanca!H130)</f>
        <v>29</v>
      </c>
      <c r="H122" s="30">
        <f t="shared" si="4"/>
        <v>241401.05</v>
      </c>
      <c r="I122" s="31">
        <f t="shared" si="5"/>
        <v>0</v>
      </c>
      <c r="J122" s="31">
        <f>Bilanca!I130</f>
        <v>22269</v>
      </c>
      <c r="K122" s="31">
        <f>Bilanca!J130</f>
        <v>88618</v>
      </c>
    </row>
    <row r="123" spans="4:11" ht="12.75">
      <c r="D123" s="4" t="s">
        <v>1521</v>
      </c>
      <c r="E123" s="4">
        <v>1</v>
      </c>
      <c r="F123" s="4">
        <f>Bilanca!G131</f>
        <v>122</v>
      </c>
      <c r="G123" s="4" t="str">
        <f>IF(Bilanca!H131=0,"",Bilanca!H131)</f>
        <v>30</v>
      </c>
      <c r="H123" s="30">
        <f t="shared" si="4"/>
        <v>4132376.6799999997</v>
      </c>
      <c r="I123" s="31">
        <f t="shared" si="5"/>
        <v>0</v>
      </c>
      <c r="J123" s="31">
        <f>Bilanca!I131</f>
        <v>1218634</v>
      </c>
      <c r="K123" s="31">
        <f>Bilanca!J131</f>
        <v>1084280</v>
      </c>
    </row>
    <row r="124" spans="4:11" ht="12.75">
      <c r="D124" s="4" t="s">
        <v>1521</v>
      </c>
      <c r="E124" s="4">
        <v>1</v>
      </c>
      <c r="F124" s="4">
        <f>Bilanca!G132</f>
        <v>123</v>
      </c>
      <c r="G124" s="4">
        <f>IF(Bilanca!H132=0,"",Bilanca!H132)</f>
      </c>
      <c r="H124" s="30">
        <f t="shared" si="4"/>
        <v>118262191.28999999</v>
      </c>
      <c r="I124" s="31">
        <f t="shared" si="5"/>
        <v>0</v>
      </c>
      <c r="J124" s="31">
        <f>Bilanca!I132</f>
        <v>32606737</v>
      </c>
      <c r="K124" s="31">
        <f>Bilanca!J132</f>
        <v>31770693</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92224895</v>
      </c>
      <c r="I126" s="4">
        <f t="shared" si="5"/>
        <v>0</v>
      </c>
      <c r="J126" s="31">
        <f>RDG!I8</f>
        <v>24351140</v>
      </c>
      <c r="K126" s="31">
        <f>RDG!J8</f>
        <v>24714388</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4</v>
      </c>
      <c r="H128" s="30">
        <f aca="true" t="shared" si="6" ref="H128:H190">J128/100*F128+2*K128/100*F128</f>
        <v>86632773.14</v>
      </c>
      <c r="I128" s="4">
        <f aca="true" t="shared" si="7" ref="I128:I190">ABS(ROUND(J128,0)-J128)+ABS(ROUND(K128,0)-K128)</f>
        <v>0</v>
      </c>
      <c r="J128" s="31">
        <f>RDG!I10</f>
        <v>21936340</v>
      </c>
      <c r="K128" s="31">
        <f>RDG!J10</f>
        <v>23139221</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5</v>
      </c>
      <c r="H131" s="30">
        <f t="shared" si="6"/>
        <v>7234674.2</v>
      </c>
      <c r="I131" s="4">
        <f t="shared" si="7"/>
        <v>0</v>
      </c>
      <c r="J131" s="31">
        <f>RDG!I13</f>
        <v>2414800</v>
      </c>
      <c r="K131" s="31">
        <f>RDG!J13</f>
        <v>1575167</v>
      </c>
    </row>
    <row r="132" spans="4:11" ht="12.75">
      <c r="D132" s="4" t="s">
        <v>541</v>
      </c>
      <c r="E132" s="4">
        <v>2</v>
      </c>
      <c r="F132" s="4">
        <f>RDG!G14</f>
        <v>131</v>
      </c>
      <c r="G132" s="4">
        <f>IF(RDG!H14=0,"",RDG!H14)</f>
      </c>
      <c r="H132" s="30">
        <f t="shared" si="6"/>
        <v>91851071.82000001</v>
      </c>
      <c r="I132" s="4">
        <f t="shared" si="7"/>
        <v>0</v>
      </c>
      <c r="J132" s="31">
        <f>RDG!I14</f>
        <v>22366870</v>
      </c>
      <c r="K132" s="31">
        <f>RDG!J14</f>
        <v>23874226</v>
      </c>
    </row>
    <row r="133" spans="4:11" ht="12.75">
      <c r="D133" s="4" t="s">
        <v>541</v>
      </c>
      <c r="E133" s="4">
        <v>2</v>
      </c>
      <c r="F133" s="4">
        <f>RDG!G15</f>
        <v>132</v>
      </c>
      <c r="G133" s="4" t="str">
        <f>IF(RDG!H15=0,"",RDG!H15)</f>
        <v>6</v>
      </c>
      <c r="H133" s="30">
        <f t="shared" si="6"/>
        <v>-515772.83999999997</v>
      </c>
      <c r="I133" s="4">
        <f t="shared" si="7"/>
        <v>0</v>
      </c>
      <c r="J133" s="31">
        <f>RDG!I15</f>
        <v>43161</v>
      </c>
      <c r="K133" s="31">
        <f>RDG!J15</f>
        <v>-216949</v>
      </c>
    </row>
    <row r="134" spans="4:11" ht="12.75">
      <c r="D134" s="4" t="s">
        <v>541</v>
      </c>
      <c r="E134" s="4">
        <v>2</v>
      </c>
      <c r="F134" s="4">
        <f>RDG!G16</f>
        <v>133</v>
      </c>
      <c r="G134" s="4">
        <f>IF(RDG!H16=0,"",RDG!H16)</f>
      </c>
      <c r="H134" s="30">
        <f t="shared" si="6"/>
        <v>22795170.58</v>
      </c>
      <c r="I134" s="4">
        <f t="shared" si="7"/>
        <v>0</v>
      </c>
      <c r="J134" s="31">
        <f>RDG!I16</f>
        <v>5398496</v>
      </c>
      <c r="K134" s="31">
        <f>RDG!J16</f>
        <v>5870365</v>
      </c>
    </row>
    <row r="135" spans="4:11" ht="12.75">
      <c r="D135" s="4" t="s">
        <v>541</v>
      </c>
      <c r="E135" s="4">
        <v>2</v>
      </c>
      <c r="F135" s="4">
        <f>RDG!G17</f>
        <v>134</v>
      </c>
      <c r="G135" s="4" t="str">
        <f>IF(RDG!H17=0,"",RDG!H17)</f>
        <v>6</v>
      </c>
      <c r="H135" s="30">
        <f t="shared" si="6"/>
        <v>11906852.739999998</v>
      </c>
      <c r="I135" s="4">
        <f t="shared" si="7"/>
        <v>0</v>
      </c>
      <c r="J135" s="31">
        <f>RDG!I17</f>
        <v>3064401</v>
      </c>
      <c r="K135" s="31">
        <f>RDG!J17</f>
        <v>2910655</v>
      </c>
    </row>
    <row r="136" spans="4:11" ht="12.75">
      <c r="D136" s="4" t="s">
        <v>541</v>
      </c>
      <c r="E136" s="4">
        <v>2</v>
      </c>
      <c r="F136" s="4">
        <f>RDG!G18</f>
        <v>135</v>
      </c>
      <c r="G136" s="4" t="str">
        <f>IF(RDG!H18=0,"",RDG!H18)</f>
        <v>6</v>
      </c>
      <c r="H136" s="30">
        <f t="shared" si="6"/>
        <v>17386.65</v>
      </c>
      <c r="I136" s="4">
        <f t="shared" si="7"/>
        <v>0</v>
      </c>
      <c r="J136" s="31">
        <f>RDG!I18</f>
        <v>5107</v>
      </c>
      <c r="K136" s="31">
        <f>RDG!J18</f>
        <v>3886</v>
      </c>
    </row>
    <row r="137" spans="4:11" ht="12.75">
      <c r="D137" s="4" t="s">
        <v>541</v>
      </c>
      <c r="E137" s="4">
        <v>2</v>
      </c>
      <c r="F137" s="4">
        <f>RDG!G19</f>
        <v>136</v>
      </c>
      <c r="G137" s="4" t="str">
        <f>IF(RDG!H19=0,"",RDG!H19)</f>
        <v>7</v>
      </c>
      <c r="H137" s="30">
        <f t="shared" si="6"/>
        <v>11207264.96</v>
      </c>
      <c r="I137" s="4">
        <f t="shared" si="7"/>
        <v>0</v>
      </c>
      <c r="J137" s="31">
        <f>RDG!I19</f>
        <v>2328988</v>
      </c>
      <c r="K137" s="31">
        <f>RDG!J19</f>
        <v>2955824</v>
      </c>
    </row>
    <row r="138" spans="4:11" ht="12.75">
      <c r="D138" s="4" t="s">
        <v>541</v>
      </c>
      <c r="E138" s="4">
        <v>2</v>
      </c>
      <c r="F138" s="4">
        <f>RDG!G20</f>
        <v>137</v>
      </c>
      <c r="G138" s="4">
        <f>IF(RDG!H20=0,"",RDG!H20)</f>
      </c>
      <c r="H138" s="30">
        <f t="shared" si="6"/>
        <v>47217818.57</v>
      </c>
      <c r="I138" s="4">
        <f t="shared" si="7"/>
        <v>0</v>
      </c>
      <c r="J138" s="31">
        <f>RDG!I20</f>
        <v>10804201</v>
      </c>
      <c r="K138" s="31">
        <f>RDG!J20</f>
        <v>11830680</v>
      </c>
    </row>
    <row r="139" spans="4:11" ht="12.75">
      <c r="D139" s="4" t="s">
        <v>541</v>
      </c>
      <c r="E139" s="4">
        <v>2</v>
      </c>
      <c r="F139" s="4">
        <f>RDG!G21</f>
        <v>138</v>
      </c>
      <c r="G139" s="4" t="str">
        <f>IF(RDG!H21=0,"",RDG!H21)</f>
        <v>8</v>
      </c>
      <c r="H139" s="30">
        <f t="shared" si="6"/>
        <v>31118997.24</v>
      </c>
      <c r="I139" s="4">
        <f t="shared" si="7"/>
        <v>0</v>
      </c>
      <c r="J139" s="31">
        <f>RDG!I21</f>
        <v>7043224</v>
      </c>
      <c r="K139" s="31">
        <f>RDG!J21</f>
        <v>7753387</v>
      </c>
    </row>
    <row r="140" spans="4:11" ht="12.75">
      <c r="D140" s="4" t="s">
        <v>541</v>
      </c>
      <c r="E140" s="4">
        <v>2</v>
      </c>
      <c r="F140" s="4">
        <f>RDG!G22</f>
        <v>139</v>
      </c>
      <c r="G140" s="4" t="str">
        <f>IF(RDG!H22=0,"",RDG!H22)</f>
        <v>8</v>
      </c>
      <c r="H140" s="30">
        <f t="shared" si="6"/>
        <v>9773230.39</v>
      </c>
      <c r="I140" s="4">
        <f t="shared" si="7"/>
        <v>0</v>
      </c>
      <c r="J140" s="31">
        <f>RDG!I22</f>
        <v>2253817</v>
      </c>
      <c r="K140" s="31">
        <f>RDG!J22</f>
        <v>2388642</v>
      </c>
    </row>
    <row r="141" spans="4:11" ht="12.75">
      <c r="D141" s="4" t="s">
        <v>541</v>
      </c>
      <c r="E141" s="4">
        <v>2</v>
      </c>
      <c r="F141" s="4">
        <f>RDG!G23</f>
        <v>140</v>
      </c>
      <c r="G141" s="4" t="str">
        <f>IF(RDG!H23=0,"",RDG!H23)</f>
        <v>8</v>
      </c>
      <c r="H141" s="30">
        <f t="shared" si="6"/>
        <v>6838246.8</v>
      </c>
      <c r="I141" s="4">
        <f t="shared" si="7"/>
        <v>0</v>
      </c>
      <c r="J141" s="31">
        <f>RDG!I23</f>
        <v>1507160</v>
      </c>
      <c r="K141" s="31">
        <f>RDG!J23</f>
        <v>1688651</v>
      </c>
    </row>
    <row r="142" spans="4:11" ht="12.75">
      <c r="D142" s="4" t="s">
        <v>541</v>
      </c>
      <c r="E142" s="4">
        <v>2</v>
      </c>
      <c r="F142" s="4">
        <f>RDG!G24</f>
        <v>141</v>
      </c>
      <c r="G142" s="4" t="str">
        <f>IF(RDG!H24=0,"",RDG!H24)</f>
        <v>15</v>
      </c>
      <c r="H142" s="30">
        <f t="shared" si="6"/>
        <v>11935603.469999999</v>
      </c>
      <c r="I142" s="4">
        <f t="shared" si="7"/>
        <v>0</v>
      </c>
      <c r="J142" s="31">
        <f>RDG!I24</f>
        <v>2851367</v>
      </c>
      <c r="K142" s="31">
        <f>RDG!J24</f>
        <v>2806800</v>
      </c>
    </row>
    <row r="143" spans="4:11" ht="12.75">
      <c r="D143" s="4" t="s">
        <v>541</v>
      </c>
      <c r="E143" s="4">
        <v>2</v>
      </c>
      <c r="F143" s="4">
        <f>RDG!G25</f>
        <v>142</v>
      </c>
      <c r="G143" s="4" t="str">
        <f>IF(RDG!H25=0,"",RDG!H25)</f>
        <v>9</v>
      </c>
      <c r="H143" s="30">
        <f t="shared" si="6"/>
        <v>10620760.78</v>
      </c>
      <c r="I143" s="4">
        <f t="shared" si="7"/>
        <v>0</v>
      </c>
      <c r="J143" s="31">
        <f>RDG!I25</f>
        <v>2169657</v>
      </c>
      <c r="K143" s="31">
        <f>RDG!J25</f>
        <v>2654876</v>
      </c>
    </row>
    <row r="144" spans="4:11" ht="12.75">
      <c r="D144" s="4" t="s">
        <v>541</v>
      </c>
      <c r="E144" s="4">
        <v>2</v>
      </c>
      <c r="F144" s="4">
        <f>RDG!G26</f>
        <v>143</v>
      </c>
      <c r="G144" s="4" t="str">
        <f>IF(RDG!H26=0,"",RDG!H26)</f>
        <v>17</v>
      </c>
      <c r="H144" s="30">
        <f t="shared" si="6"/>
        <v>3659500.1300000004</v>
      </c>
      <c r="I144" s="4">
        <f t="shared" si="7"/>
        <v>0</v>
      </c>
      <c r="J144" s="31">
        <f>RDG!I26</f>
        <v>967229</v>
      </c>
      <c r="K144" s="31">
        <f>RDG!J26</f>
        <v>795931</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t="str">
        <f>IF(RDG!H28=0,"",RDG!H28)</f>
        <v>17</v>
      </c>
      <c r="H146" s="30">
        <f t="shared" si="6"/>
        <v>3710681.95</v>
      </c>
      <c r="I146" s="4">
        <f t="shared" si="7"/>
        <v>0</v>
      </c>
      <c r="J146" s="31">
        <f>RDG!I28</f>
        <v>967229</v>
      </c>
      <c r="K146" s="31">
        <f>RDG!J28</f>
        <v>795931</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t="str">
        <f>IF(RDG!H36=0,"",RDG!H36)</f>
        <v>10</v>
      </c>
      <c r="H154" s="30">
        <f t="shared" si="6"/>
        <v>608641.65</v>
      </c>
      <c r="I154" s="4">
        <f t="shared" si="7"/>
        <v>0</v>
      </c>
      <c r="J154" s="31">
        <f>RDG!I36</f>
        <v>132759</v>
      </c>
      <c r="K154" s="31">
        <f>RDG!J36</f>
        <v>132523</v>
      </c>
    </row>
    <row r="155" spans="4:11" ht="12.75">
      <c r="D155" s="4" t="s">
        <v>541</v>
      </c>
      <c r="E155" s="4">
        <v>2</v>
      </c>
      <c r="F155" s="4">
        <f>RDG!G37</f>
        <v>154</v>
      </c>
      <c r="G155" s="4">
        <f>IF(RDG!H37=0,"",RDG!H37)</f>
      </c>
      <c r="H155" s="30">
        <f t="shared" si="6"/>
        <v>540766.38</v>
      </c>
      <c r="I155" s="4">
        <f t="shared" si="7"/>
        <v>0</v>
      </c>
      <c r="J155" s="31">
        <f>RDG!I37</f>
        <v>208073</v>
      </c>
      <c r="K155" s="31">
        <f>RDG!J37</f>
        <v>71537</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t="str">
        <f>IF(RDG!H44=0,"",RDG!H44)</f>
        <v>11</v>
      </c>
      <c r="H162" s="30">
        <f t="shared" si="6"/>
        <v>502184.76</v>
      </c>
      <c r="I162" s="4">
        <f t="shared" si="7"/>
        <v>0</v>
      </c>
      <c r="J162" s="31">
        <f>RDG!I44</f>
        <v>169190</v>
      </c>
      <c r="K162" s="31">
        <f>RDG!J44</f>
        <v>71363</v>
      </c>
    </row>
    <row r="163" spans="4:11" ht="12.75">
      <c r="D163" s="4" t="s">
        <v>541</v>
      </c>
      <c r="E163" s="4">
        <v>2</v>
      </c>
      <c r="F163" s="4">
        <f>RDG!G45</f>
        <v>162</v>
      </c>
      <c r="G163" s="4" t="str">
        <f>IF(RDG!H45=0,"",RDG!H45)</f>
        <v>11</v>
      </c>
      <c r="H163" s="30">
        <f t="shared" si="6"/>
        <v>63554.22</v>
      </c>
      <c r="I163" s="4">
        <f t="shared" si="7"/>
        <v>0</v>
      </c>
      <c r="J163" s="31">
        <f>RDG!I45</f>
        <v>38883</v>
      </c>
      <c r="K163" s="31">
        <f>RDG!J45</f>
        <v>174</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103220.70000000001</v>
      </c>
      <c r="I166" s="4">
        <f t="shared" si="7"/>
        <v>0</v>
      </c>
      <c r="J166" s="31">
        <f>RDG!I48</f>
        <v>27372</v>
      </c>
      <c r="K166" s="31">
        <f>RDG!J48</f>
        <v>17593</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t="str">
        <f>IF(RDG!H51=0,"",RDG!H51)</f>
        <v>12</v>
      </c>
      <c r="H169" s="30">
        <f t="shared" si="6"/>
        <v>82395.6</v>
      </c>
      <c r="I169" s="4">
        <f t="shared" si="7"/>
        <v>0</v>
      </c>
      <c r="J169" s="31">
        <f>RDG!I51</f>
        <v>27343</v>
      </c>
      <c r="K169" s="31">
        <f>RDG!J51</f>
        <v>10851</v>
      </c>
    </row>
    <row r="170" spans="4:11" ht="12.75">
      <c r="D170" s="4" t="s">
        <v>541</v>
      </c>
      <c r="E170" s="4">
        <v>2</v>
      </c>
      <c r="F170" s="4">
        <f>RDG!G52</f>
        <v>169</v>
      </c>
      <c r="G170" s="4" t="str">
        <f>IF(RDG!H52=0,"",RDG!H52)</f>
        <v>12</v>
      </c>
      <c r="H170" s="30">
        <f t="shared" si="6"/>
        <v>22836.969999999998</v>
      </c>
      <c r="I170" s="4">
        <f t="shared" si="7"/>
        <v>0</v>
      </c>
      <c r="J170" s="31">
        <f>RDG!I52</f>
        <v>29</v>
      </c>
      <c r="K170" s="31">
        <f>RDG!J52</f>
        <v>6742</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131211981.50999999</v>
      </c>
      <c r="I178" s="4">
        <f t="shared" si="7"/>
        <v>0</v>
      </c>
      <c r="J178" s="31">
        <f>RDG!I60</f>
        <v>24559213</v>
      </c>
      <c r="K178" s="31">
        <f>RDG!J60</f>
        <v>24785925</v>
      </c>
    </row>
    <row r="179" spans="4:11" ht="12.75">
      <c r="D179" s="4" t="s">
        <v>541</v>
      </c>
      <c r="E179" s="4">
        <v>2</v>
      </c>
      <c r="F179" s="4">
        <f>RDG!G61</f>
        <v>178</v>
      </c>
      <c r="G179" s="4">
        <f>IF(RDG!H61=0,"",RDG!H61)</f>
      </c>
      <c r="H179" s="30">
        <f t="shared" si="6"/>
        <v>124916626.4</v>
      </c>
      <c r="I179" s="4">
        <f t="shared" si="7"/>
        <v>0</v>
      </c>
      <c r="J179" s="31">
        <f>RDG!I61</f>
        <v>22394242</v>
      </c>
      <c r="K179" s="31">
        <f>RDG!J61</f>
        <v>23891819</v>
      </c>
    </row>
    <row r="180" spans="4:11" ht="12.75">
      <c r="D180" s="4" t="s">
        <v>541</v>
      </c>
      <c r="E180" s="4">
        <v>2</v>
      </c>
      <c r="F180" s="4">
        <f>RDG!G62</f>
        <v>179</v>
      </c>
      <c r="G180" s="4">
        <f>IF(RDG!H62=0,"",RDG!H62)</f>
      </c>
      <c r="H180" s="30">
        <f t="shared" si="6"/>
        <v>7076197.57</v>
      </c>
      <c r="I180" s="4">
        <f t="shared" si="7"/>
        <v>0</v>
      </c>
      <c r="J180" s="31">
        <f>RDG!I62</f>
        <v>2164971</v>
      </c>
      <c r="K180" s="31">
        <f>RDG!J62</f>
        <v>894106</v>
      </c>
    </row>
    <row r="181" spans="4:11" ht="12.75">
      <c r="D181" s="4" t="s">
        <v>541</v>
      </c>
      <c r="E181" s="4">
        <v>2</v>
      </c>
      <c r="F181" s="4">
        <f>RDG!G63</f>
        <v>180</v>
      </c>
      <c r="G181" s="4">
        <f>IF(RDG!H63=0,"",RDG!H63)</f>
      </c>
      <c r="H181" s="30">
        <f t="shared" si="6"/>
        <v>7115729.399999999</v>
      </c>
      <c r="I181" s="4">
        <f t="shared" si="7"/>
        <v>0</v>
      </c>
      <c r="J181" s="31">
        <f>RDG!I63</f>
        <v>2164971</v>
      </c>
      <c r="K181" s="31">
        <f>RDG!J63</f>
        <v>894106</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t="str">
        <f>IF(RDG!H65=0,"",RDG!H65)</f>
        <v>13</v>
      </c>
      <c r="H183" s="30">
        <f t="shared" si="6"/>
        <v>1483254.5</v>
      </c>
      <c r="I183" s="4">
        <f t="shared" si="7"/>
        <v>0</v>
      </c>
      <c r="J183" s="31">
        <f>RDG!I65</f>
        <v>417049</v>
      </c>
      <c r="K183" s="31">
        <f>RDG!J65</f>
        <v>198963</v>
      </c>
    </row>
    <row r="184" spans="4:11" ht="12.75">
      <c r="D184" s="4" t="s">
        <v>541</v>
      </c>
      <c r="E184" s="4">
        <v>2</v>
      </c>
      <c r="F184" s="4">
        <f>RDG!G66</f>
        <v>183</v>
      </c>
      <c r="G184" s="4">
        <f>IF(RDG!H66=0,"",RDG!H66)</f>
      </c>
      <c r="H184" s="30">
        <f t="shared" si="6"/>
        <v>5742920.640000001</v>
      </c>
      <c r="I184" s="4">
        <f t="shared" si="7"/>
        <v>0</v>
      </c>
      <c r="J184" s="31">
        <f>RDG!I66</f>
        <v>1747922</v>
      </c>
      <c r="K184" s="31">
        <f>RDG!J66</f>
        <v>695143</v>
      </c>
    </row>
    <row r="185" spans="4:11" ht="12.75">
      <c r="D185" s="4" t="s">
        <v>541</v>
      </c>
      <c r="E185" s="4">
        <v>2</v>
      </c>
      <c r="F185" s="4">
        <f>RDG!G67</f>
        <v>184</v>
      </c>
      <c r="G185" s="4">
        <f>IF(RDG!H67=0,"",RDG!H67)</f>
      </c>
      <c r="H185" s="30">
        <f t="shared" si="6"/>
        <v>5774302.720000001</v>
      </c>
      <c r="I185" s="4">
        <f t="shared" si="7"/>
        <v>0</v>
      </c>
      <c r="J185" s="31">
        <f>RDG!I67</f>
        <v>1747922</v>
      </c>
      <c r="K185" s="31">
        <f>RDG!J67</f>
        <v>695143</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39531.83</v>
      </c>
      <c r="I289" s="4">
        <f t="shared" si="15"/>
        <v>0</v>
      </c>
      <c r="J289" s="31">
        <f>NT_I!I9</f>
        <v>2164971</v>
      </c>
      <c r="K289" s="31">
        <f>NT_I!J9</f>
        <v>894106</v>
      </c>
    </row>
    <row r="290" spans="4:11" ht="12.75">
      <c r="D290" s="4" t="s">
        <v>1523</v>
      </c>
      <c r="E290" s="4">
        <v>4</v>
      </c>
      <c r="F290" s="4">
        <f>NT_I!G10</f>
        <v>2</v>
      </c>
      <c r="G290" s="4">
        <f>IF(NT_I!H10&lt;&gt;"",NT_I!H10,"")</f>
      </c>
      <c r="H290" s="30">
        <f t="shared" si="14"/>
        <v>147516.38</v>
      </c>
      <c r="I290" s="4">
        <f t="shared" si="15"/>
        <v>0</v>
      </c>
      <c r="J290" s="31">
        <f>NT_I!I10</f>
        <v>2851367</v>
      </c>
      <c r="K290" s="31">
        <f>NT_I!J10</f>
        <v>2262226</v>
      </c>
    </row>
    <row r="291" spans="4:11" ht="12.75">
      <c r="D291" s="4" t="s">
        <v>1523</v>
      </c>
      <c r="E291" s="4">
        <v>4</v>
      </c>
      <c r="F291" s="4">
        <f>NT_I!G11</f>
        <v>3</v>
      </c>
      <c r="G291" s="4">
        <f>IF(NT_I!H11&lt;&gt;"",NT_I!H11,"")</f>
      </c>
      <c r="H291" s="30">
        <f t="shared" si="14"/>
        <v>253949.01</v>
      </c>
      <c r="I291" s="4">
        <f t="shared" si="15"/>
        <v>0</v>
      </c>
      <c r="J291" s="31">
        <f>NT_I!I11</f>
        <v>2851367</v>
      </c>
      <c r="K291" s="31">
        <f>NT_I!J11</f>
        <v>2806800</v>
      </c>
    </row>
    <row r="292" spans="4:11" ht="12.75">
      <c r="D292" s="4" t="s">
        <v>1523</v>
      </c>
      <c r="E292" s="4">
        <v>4</v>
      </c>
      <c r="F292" s="4">
        <f>NT_I!G12</f>
        <v>4</v>
      </c>
      <c r="G292" s="4">
        <f>IF(NT_I!H12&lt;&gt;"",NT_I!H12,"")</f>
      </c>
      <c r="H292" s="30">
        <f aca="true" t="shared" si="16" ref="H292:H330">J292/100*F292+2*K292/100*F292</f>
        <v>-35923.92</v>
      </c>
      <c r="I292" s="4">
        <f aca="true" t="shared" si="17" ref="I292:I330">ABS(ROUND(J292,0)-J292)+ABS(ROUND(K292,0)-K292)</f>
        <v>0</v>
      </c>
      <c r="J292" s="31">
        <f>NT_I!I12</f>
        <v>0</v>
      </c>
      <c r="K292" s="31">
        <f>NT_I!J12</f>
        <v>-449049</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-19105</v>
      </c>
      <c r="I298" s="4">
        <f t="shared" si="17"/>
        <v>0</v>
      </c>
      <c r="J298" s="31">
        <f>NT_I!I18</f>
        <v>0</v>
      </c>
      <c r="K298" s="31">
        <f>NT_I!J18</f>
        <v>-95525</v>
      </c>
    </row>
    <row r="299" spans="4:11" ht="12.75">
      <c r="D299" s="4" t="s">
        <v>1523</v>
      </c>
      <c r="E299" s="4">
        <v>4</v>
      </c>
      <c r="F299" s="4">
        <f>NT_I!G19</f>
        <v>11</v>
      </c>
      <c r="G299" s="4">
        <f>IF(NT_I!H19&lt;&gt;"",NT_I!H19,"")</f>
      </c>
      <c r="H299" s="30">
        <f t="shared" si="16"/>
        <v>1246190.22</v>
      </c>
      <c r="I299" s="4">
        <f t="shared" si="17"/>
        <v>0</v>
      </c>
      <c r="J299" s="31">
        <f>NT_I!I19</f>
        <v>5016338</v>
      </c>
      <c r="K299" s="31">
        <f>NT_I!J19</f>
        <v>3156332</v>
      </c>
    </row>
    <row r="300" spans="4:11" ht="12.75">
      <c r="D300" s="4" t="s">
        <v>1523</v>
      </c>
      <c r="E300" s="4">
        <v>4</v>
      </c>
      <c r="F300" s="4">
        <f>NT_I!G20</f>
        <v>12</v>
      </c>
      <c r="G300" s="4">
        <f>IF(NT_I!H20&lt;&gt;"",NT_I!H20,"")</f>
      </c>
      <c r="H300" s="30">
        <f t="shared" si="16"/>
        <v>-444759.12</v>
      </c>
      <c r="I300" s="4">
        <f t="shared" si="17"/>
        <v>0</v>
      </c>
      <c r="J300" s="31">
        <f>NT_I!I20</f>
        <v>1383752</v>
      </c>
      <c r="K300" s="31">
        <f>NT_I!J20</f>
        <v>-2545039</v>
      </c>
    </row>
    <row r="301" spans="4:11" ht="12.75">
      <c r="D301" s="4" t="s">
        <v>1523</v>
      </c>
      <c r="E301" s="4">
        <v>4</v>
      </c>
      <c r="F301" s="4">
        <f>NT_I!G21</f>
        <v>13</v>
      </c>
      <c r="G301" s="4">
        <f>IF(NT_I!H21&lt;&gt;"",NT_I!H21,"")</f>
      </c>
      <c r="H301" s="30">
        <f t="shared" si="16"/>
        <v>-93822.42999999996</v>
      </c>
      <c r="I301" s="4">
        <f t="shared" si="17"/>
        <v>0</v>
      </c>
      <c r="J301" s="31">
        <f>NT_I!I21</f>
        <v>1095185</v>
      </c>
      <c r="K301" s="31">
        <f>NT_I!J21</f>
        <v>-908448</v>
      </c>
    </row>
    <row r="302" spans="4:11" ht="12.75">
      <c r="D302" s="4" t="s">
        <v>1523</v>
      </c>
      <c r="E302" s="4">
        <v>4</v>
      </c>
      <c r="F302" s="4">
        <f>NT_I!G22</f>
        <v>14</v>
      </c>
      <c r="G302" s="4">
        <f>IF(NT_I!H22&lt;&gt;"",NT_I!H22,"")</f>
      </c>
      <c r="H302" s="30">
        <f t="shared" si="16"/>
        <v>-352206.26</v>
      </c>
      <c r="I302" s="4">
        <f t="shared" si="17"/>
        <v>0</v>
      </c>
      <c r="J302" s="31">
        <f>NT_I!I22</f>
        <v>278447</v>
      </c>
      <c r="K302" s="31">
        <f>NT_I!J22</f>
        <v>-1397103</v>
      </c>
    </row>
    <row r="303" spans="4:11" ht="12.75">
      <c r="D303" s="4" t="s">
        <v>1523</v>
      </c>
      <c r="E303" s="4">
        <v>4</v>
      </c>
      <c r="F303" s="4">
        <f>NT_I!G23</f>
        <v>15</v>
      </c>
      <c r="G303" s="4">
        <f>IF(NT_I!H23&lt;&gt;"",NT_I!H23,"")</f>
      </c>
      <c r="H303" s="30">
        <f t="shared" si="16"/>
        <v>-63771.899999999994</v>
      </c>
      <c r="I303" s="4">
        <f t="shared" si="17"/>
        <v>0</v>
      </c>
      <c r="J303" s="31">
        <f>NT_I!I23</f>
        <v>10120</v>
      </c>
      <c r="K303" s="31">
        <f>NT_I!J23</f>
        <v>-217633</v>
      </c>
    </row>
    <row r="304" spans="4:11" ht="12.75">
      <c r="D304" s="4" t="s">
        <v>1523</v>
      </c>
      <c r="E304" s="4">
        <v>4</v>
      </c>
      <c r="F304" s="4">
        <f>NT_I!G24</f>
        <v>16</v>
      </c>
      <c r="G304" s="4">
        <f>IF(NT_I!H24&lt;&gt;"",NT_I!H24,"")</f>
      </c>
      <c r="H304" s="30">
        <f t="shared" si="16"/>
        <v>-6993.6</v>
      </c>
      <c r="I304" s="4">
        <f t="shared" si="17"/>
        <v>0</v>
      </c>
      <c r="J304" s="31">
        <f>NT_I!I24</f>
        <v>0</v>
      </c>
      <c r="K304" s="31">
        <f>NT_I!J24</f>
        <v>-21855</v>
      </c>
    </row>
    <row r="305" spans="4:11" ht="12.75">
      <c r="D305" s="4" t="s">
        <v>1523</v>
      </c>
      <c r="E305" s="4">
        <v>4</v>
      </c>
      <c r="F305" s="4">
        <f>NT_I!G25</f>
        <v>17</v>
      </c>
      <c r="G305" s="4">
        <f>IF(NT_I!H25&lt;&gt;"",NT_I!H25,"")</f>
      </c>
      <c r="H305" s="30">
        <f t="shared" si="16"/>
        <v>1295854.92</v>
      </c>
      <c r="I305" s="4">
        <f t="shared" si="17"/>
        <v>0</v>
      </c>
      <c r="J305" s="31">
        <f>NT_I!I25</f>
        <v>6400090</v>
      </c>
      <c r="K305" s="31">
        <f>NT_I!J25</f>
        <v>611293</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-154845.25</v>
      </c>
      <c r="I307" s="4">
        <f t="shared" si="17"/>
        <v>0</v>
      </c>
      <c r="J307" s="31">
        <f>NT_I!I27</f>
        <v>-417049</v>
      </c>
      <c r="K307" s="31">
        <f>NT_I!J27</f>
        <v>-198963</v>
      </c>
    </row>
    <row r="308" spans="4:11" ht="12.75">
      <c r="D308" s="4" t="s">
        <v>1523</v>
      </c>
      <c r="E308" s="4">
        <v>4</v>
      </c>
      <c r="F308" s="4">
        <f>NT_I!G28</f>
        <v>20</v>
      </c>
      <c r="G308" s="4">
        <f>IF(NT_I!H28&lt;&gt;"",NT_I!H28,"")</f>
      </c>
      <c r="H308" s="30">
        <f t="shared" si="16"/>
        <v>1361540.2000000002</v>
      </c>
      <c r="I308" s="4">
        <f t="shared" si="17"/>
        <v>0</v>
      </c>
      <c r="J308" s="31">
        <f>NT_I!I28</f>
        <v>5983041</v>
      </c>
      <c r="K308" s="31">
        <f>NT_I!J28</f>
        <v>412330</v>
      </c>
    </row>
    <row r="309" spans="4:11" ht="12.75">
      <c r="D309" s="4" t="s">
        <v>1523</v>
      </c>
      <c r="E309" s="4">
        <v>4</v>
      </c>
      <c r="F309" s="4">
        <f>NT_I!G30</f>
        <v>21</v>
      </c>
      <c r="G309" s="4">
        <f>IF(NT_I!H30&lt;&gt;"",NT_I!H30,"")</f>
      </c>
      <c r="H309" s="30">
        <f t="shared" si="16"/>
        <v>420843.78</v>
      </c>
      <c r="I309" s="4">
        <f t="shared" si="17"/>
        <v>0</v>
      </c>
      <c r="J309" s="31">
        <f>NT_I!I30</f>
        <v>0</v>
      </c>
      <c r="K309" s="31">
        <f>NT_I!J30</f>
        <v>1002009</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541084.86</v>
      </c>
      <c r="I315" s="4">
        <f t="shared" si="17"/>
        <v>0</v>
      </c>
      <c r="J315" s="31">
        <f>NT_I!I36</f>
        <v>0</v>
      </c>
      <c r="K315" s="31">
        <f>NT_I!J36</f>
        <v>1002009</v>
      </c>
    </row>
    <row r="316" spans="4:11" ht="12.75">
      <c r="D316" s="4" t="s">
        <v>1523</v>
      </c>
      <c r="E316" s="4">
        <v>4</v>
      </c>
      <c r="F316" s="4">
        <f>NT_I!G37</f>
        <v>28</v>
      </c>
      <c r="G316" s="4">
        <f>IF(NT_I!H37&lt;&gt;"",NT_I!H37,"")</f>
      </c>
      <c r="H316" s="30">
        <f t="shared" si="16"/>
        <v>-5436677.68</v>
      </c>
      <c r="I316" s="4">
        <f t="shared" si="17"/>
        <v>0</v>
      </c>
      <c r="J316" s="31">
        <f>NT_I!I37</f>
        <v>-5207618</v>
      </c>
      <c r="K316" s="31">
        <f>NT_I!J37</f>
        <v>-7104544</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-6407512.98</v>
      </c>
      <c r="I321" s="4">
        <f t="shared" si="17"/>
        <v>0</v>
      </c>
      <c r="J321" s="31">
        <f>NT_I!I42</f>
        <v>-5207618</v>
      </c>
      <c r="K321" s="31">
        <f>NT_I!J42</f>
        <v>-7104544</v>
      </c>
    </row>
    <row r="322" spans="4:11" ht="12.75">
      <c r="D322" s="4" t="s">
        <v>1523</v>
      </c>
      <c r="E322" s="4">
        <v>4</v>
      </c>
      <c r="F322" s="4">
        <f>NT_I!G43</f>
        <v>34</v>
      </c>
      <c r="G322" s="4">
        <f>IF(NT_I!H43&lt;&gt;"",NT_I!H43,"")</f>
      </c>
      <c r="H322" s="30">
        <f t="shared" si="16"/>
        <v>-5920313.92</v>
      </c>
      <c r="I322" s="4">
        <f t="shared" si="17"/>
        <v>0</v>
      </c>
      <c r="J322" s="31">
        <f>NT_I!I43</f>
        <v>-5207618</v>
      </c>
      <c r="K322" s="31">
        <f>NT_I!J43</f>
        <v>-6102535</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3331295</v>
      </c>
      <c r="I325" s="4">
        <f t="shared" si="17"/>
        <v>0</v>
      </c>
      <c r="J325" s="31">
        <f>NT_I!I47</f>
        <v>6003500</v>
      </c>
      <c r="K325" s="31">
        <f>NT_I!J47</f>
        <v>1500000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3511365</v>
      </c>
      <c r="I327" s="4">
        <f t="shared" si="17"/>
        <v>0</v>
      </c>
      <c r="J327" s="31">
        <f>NT_I!I49</f>
        <v>6003500</v>
      </c>
      <c r="K327" s="31">
        <f>NT_I!J49</f>
        <v>1500000</v>
      </c>
    </row>
    <row r="328" spans="4:11" ht="12.75">
      <c r="D328" s="4" t="s">
        <v>1523</v>
      </c>
      <c r="E328" s="4">
        <v>4</v>
      </c>
      <c r="F328" s="4">
        <f>NT_I!G50</f>
        <v>40</v>
      </c>
      <c r="G328" s="4">
        <f>IF(NT_I!H50&lt;&gt;"",NT_I!H50,"")</f>
      </c>
      <c r="H328" s="30">
        <f t="shared" si="16"/>
        <v>-657934.8</v>
      </c>
      <c r="I328" s="4">
        <f t="shared" si="17"/>
        <v>0</v>
      </c>
      <c r="J328" s="31">
        <f>NT_I!I50</f>
        <v>-590411</v>
      </c>
      <c r="K328" s="31">
        <f>NT_I!J50</f>
        <v>-527213</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-740176.65</v>
      </c>
      <c r="I333" s="4">
        <f t="shared" si="19"/>
        <v>0</v>
      </c>
      <c r="J333" s="31">
        <f>NT_I!I55</f>
        <v>-590411</v>
      </c>
      <c r="K333" s="31">
        <f>NT_I!J55</f>
        <v>-527213</v>
      </c>
    </row>
    <row r="334" spans="4:11" ht="12.75">
      <c r="D334" s="4" t="s">
        <v>1523</v>
      </c>
      <c r="E334" s="4">
        <v>4</v>
      </c>
      <c r="F334" s="4">
        <f>NT_I!G56</f>
        <v>46</v>
      </c>
      <c r="G334" s="4">
        <f>IF(NT_I!H56&lt;&gt;"",NT_I!H56,"")</f>
      </c>
      <c r="H334" s="30">
        <f t="shared" si="18"/>
        <v>3384984.98</v>
      </c>
      <c r="I334" s="4">
        <f t="shared" si="19"/>
        <v>0</v>
      </c>
      <c r="J334" s="31">
        <f>NT_I!I56</f>
        <v>5413089</v>
      </c>
      <c r="K334" s="31">
        <f>NT_I!J56</f>
        <v>972787</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-1558235.52</v>
      </c>
      <c r="I336" s="4">
        <f t="shared" si="19"/>
        <v>0</v>
      </c>
      <c r="J336" s="31">
        <f>NT_I!I58</f>
        <v>6188512</v>
      </c>
      <c r="K336" s="31">
        <f>NT_I!J58</f>
        <v>-4717418</v>
      </c>
    </row>
    <row r="337" spans="4:11" ht="12.75">
      <c r="D337" s="4" t="s">
        <v>1523</v>
      </c>
      <c r="E337" s="4">
        <v>4</v>
      </c>
      <c r="F337" s="4">
        <f>NT_I!G59</f>
        <v>49</v>
      </c>
      <c r="G337" s="4">
        <f>IF(NT_I!H59&lt;&gt;"",NT_I!H59,"")</f>
      </c>
      <c r="H337" s="30">
        <f t="shared" si="18"/>
        <v>8544708.2</v>
      </c>
      <c r="I337" s="4">
        <f t="shared" si="19"/>
        <v>0</v>
      </c>
      <c r="J337" s="31">
        <f>NT_I!I59</f>
        <v>1687052</v>
      </c>
      <c r="K337" s="31">
        <f>NT_I!J59</f>
        <v>7875564</v>
      </c>
    </row>
    <row r="338" spans="4:11" ht="12.75">
      <c r="D338" s="4" t="s">
        <v>1523</v>
      </c>
      <c r="E338" s="4">
        <v>4</v>
      </c>
      <c r="F338" s="4">
        <f>NT_I!G60</f>
        <v>50</v>
      </c>
      <c r="G338" s="4">
        <f>IF(NT_I!H60&lt;&gt;"",NT_I!H60,"")</f>
      </c>
      <c r="H338" s="30">
        <f t="shared" si="18"/>
        <v>7095928</v>
      </c>
      <c r="I338" s="4">
        <f t="shared" si="19"/>
        <v>0</v>
      </c>
      <c r="J338" s="31">
        <f>NT_I!I60</f>
        <v>7875564</v>
      </c>
      <c r="K338" s="31">
        <f>NT_I!J60</f>
        <v>3158146</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8962467.55</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15469000</v>
      </c>
      <c r="K381" s="31">
        <f>PK!J10</f>
        <v>0</v>
      </c>
      <c r="L381" s="31">
        <f>PK!K10</f>
        <v>0</v>
      </c>
      <c r="M381" s="31">
        <f>PK!L10</f>
        <v>0</v>
      </c>
      <c r="N381" s="31">
        <f>PK!M10</f>
        <v>0</v>
      </c>
      <c r="O381" s="31">
        <f>PK!N10</f>
        <v>0</v>
      </c>
      <c r="P381" s="31">
        <f>PK!O10</f>
        <v>90636</v>
      </c>
      <c r="Q381" s="31">
        <f>PK!P10</f>
        <v>134125</v>
      </c>
      <c r="R381" s="31">
        <f>PK!Q10</f>
        <v>0</v>
      </c>
      <c r="S381" s="31">
        <f>PK!R10</f>
        <v>0</v>
      </c>
      <c r="T381" s="31">
        <f>PK!S10</f>
        <v>0</v>
      </c>
      <c r="U381" s="31">
        <f>PK!T10</f>
        <v>9488387</v>
      </c>
      <c r="V381" s="31">
        <f>PK!U10</f>
        <v>226633</v>
      </c>
      <c r="W381" s="31">
        <f>PK!V10</f>
        <v>25408781</v>
      </c>
      <c r="X381" s="31">
        <f>PK!W10</f>
        <v>0</v>
      </c>
      <c r="Y381" s="31">
        <f>PK!X10</f>
        <v>25408781</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9426537.55</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15469000</v>
      </c>
      <c r="K384" s="31">
        <f>PK!J13</f>
        <v>0</v>
      </c>
      <c r="L384" s="31">
        <f>PK!K13</f>
        <v>0</v>
      </c>
      <c r="M384" s="31">
        <f>PK!L13</f>
        <v>0</v>
      </c>
      <c r="N384" s="31">
        <f>PK!M13</f>
        <v>0</v>
      </c>
      <c r="O384" s="31">
        <f>PK!N13</f>
        <v>0</v>
      </c>
      <c r="P384" s="31">
        <f>PK!O13</f>
        <v>90636</v>
      </c>
      <c r="Q384" s="31">
        <f>PK!P13</f>
        <v>134125</v>
      </c>
      <c r="R384" s="31">
        <f>PK!Q13</f>
        <v>0</v>
      </c>
      <c r="S384" s="31">
        <f>PK!R13</f>
        <v>0</v>
      </c>
      <c r="T384" s="31">
        <f>PK!S13</f>
        <v>0</v>
      </c>
      <c r="U384" s="31">
        <f>PK!T13</f>
        <v>9488387</v>
      </c>
      <c r="V384" s="31">
        <f>PK!U13</f>
        <v>226633</v>
      </c>
      <c r="W384" s="31">
        <f>PK!V13</f>
        <v>25408781</v>
      </c>
      <c r="X384" s="31">
        <f>PK!W13</f>
        <v>0</v>
      </c>
      <c r="Y384" s="31">
        <f>PK!X13</f>
        <v>25408781</v>
      </c>
    </row>
    <row r="385" spans="4:25" ht="12.75">
      <c r="D385" s="4" t="s">
        <v>542</v>
      </c>
      <c r="E385" s="4">
        <v>6</v>
      </c>
      <c r="F385" s="4">
        <f>PK!G14</f>
        <v>5</v>
      </c>
      <c r="G385" s="4">
        <f>IF(PK!H14&lt;&gt;"",PK!H14,"")</f>
      </c>
      <c r="H385" s="30">
        <f t="shared" si="22"/>
        <v>751606.46</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1747922</v>
      </c>
      <c r="W385" s="31">
        <f>PK!V14</f>
        <v>1747922</v>
      </c>
      <c r="X385" s="31">
        <f>PK!W14</f>
        <v>0</v>
      </c>
      <c r="Y385" s="31">
        <f>PK!X14</f>
        <v>1747922</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-2266.3300000000017</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226633</v>
      </c>
      <c r="V401" s="31">
        <f>PK!U30</f>
        <v>-226633</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13114987.68</v>
      </c>
      <c r="I403" s="31">
        <f t="shared" si="23"/>
        <v>0</v>
      </c>
      <c r="J403" s="31">
        <f>PK!I32</f>
        <v>15469000</v>
      </c>
      <c r="K403" s="31">
        <f>PK!J32</f>
        <v>0</v>
      </c>
      <c r="L403" s="31">
        <f>PK!K32</f>
        <v>0</v>
      </c>
      <c r="M403" s="31">
        <f>PK!L32</f>
        <v>0</v>
      </c>
      <c r="N403" s="31">
        <f>PK!M32</f>
        <v>0</v>
      </c>
      <c r="O403" s="31">
        <f>PK!N32</f>
        <v>0</v>
      </c>
      <c r="P403" s="31">
        <f>PK!O32</f>
        <v>90636</v>
      </c>
      <c r="Q403" s="31">
        <f>PK!P32</f>
        <v>134125</v>
      </c>
      <c r="R403" s="31">
        <f>PK!Q32</f>
        <v>0</v>
      </c>
      <c r="S403" s="31">
        <f>PK!R32</f>
        <v>0</v>
      </c>
      <c r="T403" s="31">
        <f>PK!S32</f>
        <v>0</v>
      </c>
      <c r="U403" s="31">
        <f>PK!T32</f>
        <v>9715020</v>
      </c>
      <c r="V403" s="31">
        <f>PK!U32</f>
        <v>1747922</v>
      </c>
      <c r="W403" s="31">
        <f>PK!V32</f>
        <v>27156703</v>
      </c>
      <c r="X403" s="31">
        <f>PK!W32</f>
        <v>0</v>
      </c>
      <c r="Y403" s="31">
        <f>PK!X32</f>
        <v>27156703</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13733747.68</v>
      </c>
      <c r="I407" s="31">
        <f t="shared" si="23"/>
        <v>0</v>
      </c>
      <c r="J407" s="31">
        <f>PK!I38</f>
        <v>15469000</v>
      </c>
      <c r="K407" s="31">
        <f>PK!J38</f>
        <v>0</v>
      </c>
      <c r="L407" s="31">
        <f>PK!K38</f>
        <v>0</v>
      </c>
      <c r="M407" s="31">
        <f>PK!L38</f>
        <v>0</v>
      </c>
      <c r="N407" s="31">
        <f>PK!M38</f>
        <v>0</v>
      </c>
      <c r="O407" s="31">
        <f>PK!N38</f>
        <v>0</v>
      </c>
      <c r="P407" s="31">
        <f>PK!O38</f>
        <v>90636</v>
      </c>
      <c r="Q407" s="31">
        <f>PK!P38</f>
        <v>134125</v>
      </c>
      <c r="R407" s="31">
        <f>PK!Q38</f>
        <v>0</v>
      </c>
      <c r="S407" s="31">
        <f>PK!R38</f>
        <v>0</v>
      </c>
      <c r="T407" s="31">
        <f>PK!S38</f>
        <v>0</v>
      </c>
      <c r="U407" s="31">
        <f>PK!T38</f>
        <v>9715020</v>
      </c>
      <c r="V407" s="31">
        <f>PK!U38</f>
        <v>1747922</v>
      </c>
      <c r="W407" s="31">
        <f>PK!V38</f>
        <v>27156703</v>
      </c>
      <c r="X407" s="31">
        <f>PK!W38</f>
        <v>0</v>
      </c>
      <c r="Y407" s="31">
        <f>PK!X38</f>
        <v>27156703</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14197817.68</v>
      </c>
      <c r="I410" s="31">
        <f t="shared" si="23"/>
        <v>0</v>
      </c>
      <c r="J410" s="31">
        <f>PK!I41</f>
        <v>15469000</v>
      </c>
      <c r="K410" s="31">
        <f>PK!J41</f>
        <v>0</v>
      </c>
      <c r="L410" s="31">
        <f>PK!K41</f>
        <v>0</v>
      </c>
      <c r="M410" s="31">
        <f>PK!L41</f>
        <v>0</v>
      </c>
      <c r="N410" s="31">
        <f>PK!M41</f>
        <v>0</v>
      </c>
      <c r="O410" s="31">
        <f>PK!N41</f>
        <v>0</v>
      </c>
      <c r="P410" s="31">
        <f>PK!O41</f>
        <v>90636</v>
      </c>
      <c r="Q410" s="31">
        <f>PK!P41</f>
        <v>134125</v>
      </c>
      <c r="R410" s="31">
        <f>PK!Q41</f>
        <v>0</v>
      </c>
      <c r="S410" s="31">
        <f>PK!R41</f>
        <v>0</v>
      </c>
      <c r="T410" s="31">
        <f>PK!S41</f>
        <v>0</v>
      </c>
      <c r="U410" s="31">
        <f>PK!T41</f>
        <v>9715020</v>
      </c>
      <c r="V410" s="31">
        <f>PK!U41</f>
        <v>1747922</v>
      </c>
      <c r="W410" s="31">
        <f>PK!V41</f>
        <v>27156703</v>
      </c>
      <c r="X410" s="31">
        <f>PK!W41</f>
        <v>0</v>
      </c>
      <c r="Y410" s="31">
        <f>PK!X41</f>
        <v>27156703</v>
      </c>
    </row>
    <row r="411" spans="4:25" ht="12.75">
      <c r="D411" s="4" t="s">
        <v>542</v>
      </c>
      <c r="E411" s="4">
        <v>6</v>
      </c>
      <c r="F411" s="4">
        <f>PK!G42</f>
        <v>31</v>
      </c>
      <c r="G411" s="4">
        <f>IF(PK!H42&lt;&gt;"",PK!H42,"")</f>
      </c>
      <c r="H411" s="30">
        <f t="shared" si="22"/>
        <v>298911.49</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695143</v>
      </c>
      <c r="W411" s="31">
        <f>PK!V42</f>
        <v>695143</v>
      </c>
      <c r="X411" s="31">
        <f>PK!W42</f>
        <v>0</v>
      </c>
      <c r="Y411" s="31">
        <f>PK!X42</f>
        <v>695143</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-17479.219999999972</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1747922</v>
      </c>
      <c r="V428" s="31">
        <f>PK!U59</f>
        <v>-1747922</v>
      </c>
      <c r="W428" s="31">
        <f>PK!V59</f>
        <v>0</v>
      </c>
      <c r="X428" s="31">
        <f>PK!W59</f>
        <v>0</v>
      </c>
      <c r="Y428" s="31">
        <f>PK!X59</f>
        <v>0</v>
      </c>
    </row>
    <row r="429" spans="4:25" ht="12.75">
      <c r="D429" s="4" t="s">
        <v>542</v>
      </c>
      <c r="E429" s="4">
        <v>6</v>
      </c>
      <c r="F429" s="4">
        <f>PK!G60</f>
        <v>49</v>
      </c>
      <c r="G429" s="4">
        <f>IF(PK!H60&lt;&gt;"",PK!H60,"")</f>
      </c>
      <c r="H429" s="30">
        <f t="shared" si="22"/>
        <v>17418359.95</v>
      </c>
      <c r="I429" s="31">
        <f t="shared" si="23"/>
        <v>0</v>
      </c>
      <c r="J429" s="31">
        <f>PK!I60</f>
        <v>15469000</v>
      </c>
      <c r="K429" s="31">
        <f>PK!J60</f>
        <v>0</v>
      </c>
      <c r="L429" s="31">
        <f>PK!K60</f>
        <v>0</v>
      </c>
      <c r="M429" s="31">
        <f>PK!L60</f>
        <v>0</v>
      </c>
      <c r="N429" s="31">
        <f>PK!M60</f>
        <v>0</v>
      </c>
      <c r="O429" s="31">
        <f>PK!N60</f>
        <v>0</v>
      </c>
      <c r="P429" s="31">
        <f>PK!O60</f>
        <v>90636</v>
      </c>
      <c r="Q429" s="31">
        <f>PK!P60</f>
        <v>134125</v>
      </c>
      <c r="R429" s="31">
        <f>PK!Q60</f>
        <v>0</v>
      </c>
      <c r="S429" s="31">
        <f>PK!R60</f>
        <v>0</v>
      </c>
      <c r="T429" s="31">
        <f>PK!S60</f>
        <v>0</v>
      </c>
      <c r="U429" s="31">
        <f>PK!T60</f>
        <v>11462942</v>
      </c>
      <c r="V429" s="31">
        <f>PK!U60</f>
        <v>695143</v>
      </c>
      <c r="W429" s="31">
        <f>PK!V60</f>
        <v>27851846</v>
      </c>
      <c r="X429" s="31">
        <f>PK!W60</f>
        <v>0</v>
      </c>
      <c r="Y429" s="31">
        <f>PK!X60</f>
        <v>27851846</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17"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KOMUNALAC POŽEGA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3</v>
      </c>
      <c r="T3" s="211" t="s">
        <v>777</v>
      </c>
      <c r="U3" s="232" t="str">
        <f>RefStr!L21</f>
        <v>51963172472</v>
      </c>
      <c r="V3" s="211" t="s">
        <v>2355</v>
      </c>
      <c r="W3" s="232">
        <f>RefStr!C31</f>
        <v>34000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99740428762</v>
      </c>
      <c r="V4" s="211" t="s">
        <v>2356</v>
      </c>
      <c r="W4" s="232" t="str">
        <f>RefStr!F31</f>
        <v>Požega</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1</v>
      </c>
      <c r="P5" s="212">
        <f>NT_I!Q2</f>
        <v>1</v>
      </c>
      <c r="Q5" s="232">
        <f>NT_I!Q3</f>
        <v>1</v>
      </c>
      <c r="R5" s="211" t="s">
        <v>1197</v>
      </c>
      <c r="S5" s="232">
        <f>IF(RefStr!C19&lt;&gt;"",IF(ISERROR(INT(RefStr!C19)),0,RefStr!C19),0)</f>
        <v>2</v>
      </c>
      <c r="T5" s="211" t="s">
        <v>2352</v>
      </c>
      <c r="U5" s="232" t="str">
        <f>RefStr!H27</f>
        <v>04156510</v>
      </c>
      <c r="V5" s="211" t="s">
        <v>2357</v>
      </c>
      <c r="W5" s="232" t="str">
        <f>RefStr!C33</f>
        <v>Vukovarska 8</v>
      </c>
      <c r="X5" s="234" t="s">
        <v>2517</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030141269</v>
      </c>
      <c r="V6" s="211" t="s">
        <v>2568</v>
      </c>
      <c r="W6" s="232" t="str">
        <f>RefStr!L35</f>
        <v>034/316-863</v>
      </c>
      <c r="X6" s="211" t="s">
        <v>2514</v>
      </c>
      <c r="Y6" s="232" t="str">
        <f>RefStr!C68</f>
        <v>Marijana Puntarić</v>
      </c>
      <c r="Z6" s="211" t="s">
        <v>1415</v>
      </c>
      <c r="AA6" s="232">
        <f>RefStr!C46</f>
        <v>0</v>
      </c>
    </row>
    <row r="7" spans="1:27" ht="13.5" customHeight="1">
      <c r="A7" s="499"/>
      <c r="B7" s="500"/>
      <c r="C7" s="500"/>
      <c r="D7" s="500"/>
      <c r="E7" s="500"/>
      <c r="F7" s="500"/>
      <c r="G7" s="500"/>
      <c r="H7" s="500"/>
      <c r="I7" s="222" t="s">
        <v>16</v>
      </c>
      <c r="J7" s="224">
        <f>SUM(M12:M120)</f>
        <v>0</v>
      </c>
      <c r="N7" s="208" t="s">
        <v>542</v>
      </c>
      <c r="O7" s="211">
        <f>PK!AA1</f>
        <v>1</v>
      </c>
      <c r="P7" s="212">
        <f>PK!AA2</f>
        <v>1</v>
      </c>
      <c r="Q7" s="232">
        <f>PK!AA3</f>
        <v>1</v>
      </c>
      <c r="R7" s="211" t="s">
        <v>2569</v>
      </c>
      <c r="S7" s="232">
        <f>IF(RefStr!C44&lt;&gt;"",IF(ISERROR(INT(RefStr!C44)),0,RefStr!C44),0)</f>
        <v>1</v>
      </c>
      <c r="T7" s="211" t="s">
        <v>1862</v>
      </c>
      <c r="U7" s="232">
        <f>RefStr!C7</f>
        <v>5</v>
      </c>
      <c r="V7" s="211" t="s">
        <v>1193</v>
      </c>
      <c r="W7" s="232" t="str">
        <f>TRIM(UPPER(RefStr!C35))</f>
        <v>INFO@KOMUNALAC-POZEGA.HR</v>
      </c>
      <c r="X7" s="211" t="s">
        <v>2515</v>
      </c>
      <c r="Y7" s="232" t="str">
        <f>RefStr!C70</f>
        <v>034-316-863</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3811</v>
      </c>
      <c r="X8" s="211" t="s">
        <v>2516</v>
      </c>
      <c r="Y8" s="232" t="str">
        <f>TRIM(UPPER(RefStr!C72))</f>
        <v>MARIJANA.PUNTARIC@KOMUNALAC-POZEGA.HR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87</v>
      </c>
      <c r="Q9" s="231">
        <f>RefStr!F58</f>
        <v>96</v>
      </c>
      <c r="R9" s="211" t="s">
        <v>1860</v>
      </c>
      <c r="S9" s="232">
        <f>IF(RefStr!F4&lt;&gt;"",RefStr!F4,0)</f>
        <v>44196</v>
      </c>
      <c r="T9" s="211" t="s">
        <v>1821</v>
      </c>
      <c r="U9" s="232">
        <f>RefStr!C39</f>
        <v>351</v>
      </c>
      <c r="V9" s="211" t="s">
        <v>1414</v>
      </c>
      <c r="W9" s="232" t="str">
        <f>RefStr!D42</f>
        <v>Skupljanje neopasnog otpada</v>
      </c>
      <c r="X9" s="238" t="s">
        <v>221</v>
      </c>
      <c r="Y9" s="239" t="str">
        <f>RefStr!I66</f>
        <v>DA</v>
      </c>
      <c r="Z9" s="236" t="s">
        <v>219</v>
      </c>
      <c r="AA9" s="237" t="str">
        <f>RefStr!I64</f>
        <v>DA</v>
      </c>
    </row>
    <row r="10" spans="1:27" ht="13.5" customHeight="1">
      <c r="A10" s="510"/>
      <c r="B10" s="510"/>
      <c r="C10" s="510"/>
      <c r="D10" s="510"/>
      <c r="E10" s="510"/>
      <c r="F10" s="510"/>
      <c r="G10" s="510"/>
      <c r="H10" s="510"/>
      <c r="I10" s="510"/>
      <c r="J10" s="510"/>
      <c r="L10" s="195"/>
      <c r="M10" s="195"/>
      <c r="O10" s="230" t="s">
        <v>2123</v>
      </c>
      <c r="P10" s="213">
        <f>RefStr!C56</f>
        <v>114</v>
      </c>
      <c r="Q10" s="233">
        <f>RefStr!F56</f>
        <v>124</v>
      </c>
      <c r="R10" s="213" t="s">
        <v>1863</v>
      </c>
      <c r="S10" s="233">
        <f>RefStr!C23</f>
        <v>1</v>
      </c>
      <c r="T10" s="213" t="s">
        <v>2573</v>
      </c>
      <c r="U10" s="233" t="str">
        <f>RefStr!D39</f>
        <v>Požega</v>
      </c>
      <c r="V10" s="240"/>
      <c r="W10" s="241"/>
      <c r="X10" s="242" t="s">
        <v>1974</v>
      </c>
      <c r="Y10" s="243">
        <f>RefStr!F12</f>
        <v>2020</v>
      </c>
      <c r="Z10" s="213" t="s">
        <v>209</v>
      </c>
      <c r="AA10" s="233" t="str">
        <f>RefStr!A75</f>
        <v>Tomislav Didović dipl. oec.</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87"/>
      <c r="E50" s="487"/>
      <c r="F50" s="487"/>
      <c r="G50" s="487"/>
      <c r="H50" s="487"/>
      <c r="I50" s="487"/>
      <c r="J50" s="487"/>
      <c r="L50" s="195">
        <f>IF(N50&lt;&gt;S3,1,0)</f>
        <v>0</v>
      </c>
      <c r="M50" s="195"/>
      <c r="N50" s="195">
        <f>IF(P8&gt;0,O50,AC50)</f>
        <v>3</v>
      </c>
      <c r="O50" s="199">
        <f>IF(SUM(Y50:AA50)&gt;1,4,IF(SUM(U50:W50)&gt;1,3,IF(SUM(Q50:S50)&gt;1,2,IF(S6="DA",2,1))))</f>
        <v>3</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3</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C:\Users\lgalic\Desktop\OBJAVE I ODGOVORI\11.6\[GFI_POD_2020.___JAVNA_OBJAVA_ - poslano(002).xls]Naslovna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tabSelected="1" zoomScalePageLayoutView="0" workbookViewId="0" topLeftCell="A1">
      <pane ySplit="1" topLeftCell="A2" activePane="bottomLeft" state="frozen"/>
      <selection pane="topLeft" activeCell="A1" sqref="A1"/>
      <selection pane="bottomLeft" activeCell="A4" sqref="A4:J4"/>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9"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55" activePane="bottomLeft" state="frozen"/>
      <selection pane="topLeft" activeCell="A1" sqref="A1"/>
      <selection pane="bottomLeft" activeCell="J70" sqref="J70"/>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365" t="s">
        <v>1057</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2020</v>
      </c>
      <c r="G12" s="349"/>
      <c r="H12" s="341" t="s">
        <v>2105</v>
      </c>
      <c r="I12" s="342"/>
      <c r="J12" s="342"/>
      <c r="K12" s="156"/>
      <c r="L12" s="156"/>
      <c r="M12" s="156"/>
      <c r="N12" s="156"/>
      <c r="P12" s="54" t="s">
        <v>2353</v>
      </c>
      <c r="Q12" s="55">
        <f>INT(VALUE(H27))/10</f>
        <v>415651</v>
      </c>
    </row>
    <row r="13" spans="4:17" ht="9.75" customHeight="1">
      <c r="D13" s="156"/>
      <c r="E13" s="162"/>
      <c r="H13" s="27"/>
      <c r="I13" s="163"/>
      <c r="J13" s="163"/>
      <c r="K13" s="156"/>
      <c r="L13" s="156"/>
      <c r="M13" s="156"/>
      <c r="N13" s="156"/>
      <c r="P13" s="54" t="s">
        <v>2353</v>
      </c>
      <c r="Q13" s="55">
        <f>INT(VALUE(M27))/50</f>
        <v>602825.38</v>
      </c>
    </row>
    <row r="14" spans="1:17" ht="15">
      <c r="A14" s="340" t="s">
        <v>2714</v>
      </c>
      <c r="B14" s="340"/>
      <c r="C14" s="340"/>
      <c r="D14" s="164"/>
      <c r="E14" s="165"/>
      <c r="F14" s="338"/>
      <c r="G14" s="339"/>
      <c r="H14" s="339"/>
      <c r="I14" s="156"/>
      <c r="J14" s="346" t="s">
        <v>2100</v>
      </c>
      <c r="K14" s="347"/>
      <c r="L14" s="347"/>
      <c r="M14" s="347"/>
      <c r="N14" s="347"/>
      <c r="P14" s="54" t="s">
        <v>2718</v>
      </c>
      <c r="Q14" s="55">
        <f>INT(VALUE(C27))/100</f>
        <v>997404287.62</v>
      </c>
    </row>
    <row r="15" spans="1:17" ht="19.5" customHeight="1">
      <c r="A15" s="343">
        <f>Skriveni!B59</f>
        <v>2744837203.7200003</v>
      </c>
      <c r="B15" s="344"/>
      <c r="C15" s="345"/>
      <c r="D15" s="60"/>
      <c r="E15" s="60"/>
      <c r="F15" s="60"/>
      <c r="G15" s="60"/>
      <c r="H15" s="60"/>
      <c r="I15" s="60"/>
      <c r="J15" s="60"/>
      <c r="K15" s="60"/>
      <c r="L15" s="60"/>
      <c r="M15" s="60"/>
      <c r="N15" s="60"/>
      <c r="P15" s="54" t="s">
        <v>1817</v>
      </c>
      <c r="Q15" s="55">
        <f>LEN(Skriveni!B9)</f>
        <v>23</v>
      </c>
    </row>
    <row r="16" spans="4:17" ht="12.75" customHeight="1">
      <c r="D16" s="60"/>
      <c r="E16" s="60"/>
      <c r="F16" s="60"/>
      <c r="G16" s="60"/>
      <c r="H16" s="60"/>
      <c r="I16" s="60"/>
      <c r="P16" s="54" t="s">
        <v>1818</v>
      </c>
      <c r="Q16" s="55">
        <f>INT(VALUE(C31))/100</f>
        <v>340</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12</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2138</v>
      </c>
      <c r="J21" s="283" t="s">
        <v>2110</v>
      </c>
      <c r="K21" s="279"/>
      <c r="L21" s="284" t="s">
        <v>2991</v>
      </c>
      <c r="M21" s="285"/>
      <c r="N21" s="286"/>
      <c r="P21" s="54" t="s">
        <v>1821</v>
      </c>
      <c r="Q21" s="55">
        <f>INT(VALUE(C39))</f>
        <v>351</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34000</v>
      </c>
      <c r="D31" s="329" t="s">
        <v>693</v>
      </c>
      <c r="E31" s="330"/>
      <c r="F31" s="323" t="s">
        <v>1190</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2960</v>
      </c>
      <c r="D33" s="324"/>
      <c r="E33" s="324"/>
      <c r="F33" s="324"/>
      <c r="G33" s="324"/>
      <c r="H33" s="324"/>
      <c r="I33" s="324"/>
      <c r="J33" s="324"/>
      <c r="K33" s="324"/>
      <c r="L33" s="325"/>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2957</v>
      </c>
      <c r="D35" s="334"/>
      <c r="E35" s="334"/>
      <c r="F35" s="334"/>
      <c r="G35" s="334"/>
      <c r="H35" s="334"/>
      <c r="I35" s="335"/>
      <c r="J35" s="275" t="s">
        <v>188</v>
      </c>
      <c r="K35" s="278"/>
      <c r="L35" s="284" t="s">
        <v>2959</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2958</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351</v>
      </c>
      <c r="D39" s="326" t="str">
        <f>IF(C39="","Šifra grada/općine nije upisana",IF(ISNA(LOOKUP(C39,A177:A732,A177:A732)),"Šifra grada/općine ne postoji",IF(LOOKUP(C39,A177:A732,A177:A732)&lt;&gt;C39,"Šifra grada/općine ne postoji",LOOKUP(C39,A177:A732,B177:B732))))</f>
        <v>Požega</v>
      </c>
      <c r="E39" s="327"/>
      <c r="F39" s="327"/>
      <c r="G39" s="327"/>
      <c r="H39" s="314" t="s">
        <v>2222</v>
      </c>
      <c r="I39" s="292"/>
      <c r="J39" s="58">
        <f>IF(C39&gt;0,LOOKUP(C39,A177:A732,C177:C732),"")</f>
        <v>11</v>
      </c>
      <c r="K39" s="315" t="str">
        <f>IF(J39="","Treba prvo upisati šifru grada/općine",LOOKUP(J39,A153:A173,B153:B173))</f>
        <v>POŽEŠKO-SLAVONSKA</v>
      </c>
      <c r="L39" s="315"/>
      <c r="M39" s="315"/>
      <c r="N39" s="315"/>
      <c r="P39" s="54" t="s">
        <v>1826</v>
      </c>
      <c r="Q39" s="55">
        <f>C56+2*F56+3*C58+4*F58</f>
        <v>1007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27</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519631724.72</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3</v>
      </c>
      <c r="D50" s="270" t="str">
        <f>IF(C50="","Oznaka veličine nije upisana",IF(ISNA(LOOKUP(C50,A124:A127,A124:A127)),"Nepostojeća oznaka veličine",IF(LOOKUP(C50,A124:A127,A124:A127)&lt;&gt;C50,"Nepostojeća oznaka veličine",LOOKUP(C50,A124:A127,B124:B127))))</f>
        <v>Srednji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114</v>
      </c>
      <c r="D56" s="272" t="s">
        <v>2898</v>
      </c>
      <c r="E56" s="273"/>
      <c r="F56" s="44">
        <v>124</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87</v>
      </c>
      <c r="D58" s="309" t="s">
        <v>2898</v>
      </c>
      <c r="E58" s="309"/>
      <c r="F58" s="44">
        <v>96</v>
      </c>
      <c r="G58" s="309" t="s">
        <v>2899</v>
      </c>
      <c r="H58" s="309"/>
      <c r="I58" s="5" t="str">
        <f>IF(OR(NT_I!Q1&lt;&gt;0,NT_D!Q1&lt;&gt;0),"DA","NE")</f>
        <v>DA</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DA</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2138</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2961</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2962</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2963</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2992</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73" activePane="bottomLeft" state="frozen"/>
      <selection pane="topLeft" activeCell="A1" sqref="A1"/>
      <selection pane="bottomLeft" activeCell="J98" sqref="J9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99740428762; KOMUNALAC POŽEGA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t="s">
        <v>2964</v>
      </c>
      <c r="I10" s="70">
        <f>I11+I18+I28+I39+I44</f>
        <v>18877023</v>
      </c>
      <c r="J10" s="70">
        <f>J11+J18+J28+J39+J44</f>
        <v>22621806</v>
      </c>
    </row>
    <row r="11" spans="1:10" ht="13.5" customHeight="1">
      <c r="A11" s="382" t="s">
        <v>1850</v>
      </c>
      <c r="B11" s="382"/>
      <c r="C11" s="382"/>
      <c r="D11" s="382"/>
      <c r="E11" s="382"/>
      <c r="F11" s="382"/>
      <c r="G11" s="19">
        <v>3</v>
      </c>
      <c r="H11" s="20" t="s">
        <v>2964</v>
      </c>
      <c r="I11" s="70">
        <f>SUM(I12:I17)</f>
        <v>610049</v>
      </c>
      <c r="J11" s="70">
        <f>SUM(J12:J17)</f>
        <v>678068</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t="s">
        <v>2964</v>
      </c>
      <c r="I16" s="71">
        <v>0</v>
      </c>
      <c r="J16" s="71"/>
    </row>
    <row r="17" spans="1:10" ht="13.5" customHeight="1">
      <c r="A17" s="381" t="s">
        <v>969</v>
      </c>
      <c r="B17" s="381"/>
      <c r="C17" s="381"/>
      <c r="D17" s="381"/>
      <c r="E17" s="381"/>
      <c r="F17" s="381"/>
      <c r="G17" s="19">
        <v>9</v>
      </c>
      <c r="H17" s="20" t="s">
        <v>2964</v>
      </c>
      <c r="I17" s="71">
        <v>610049</v>
      </c>
      <c r="J17" s="71">
        <v>678068</v>
      </c>
    </row>
    <row r="18" spans="1:10" ht="13.5" customHeight="1">
      <c r="A18" s="382" t="s">
        <v>731</v>
      </c>
      <c r="B18" s="382"/>
      <c r="C18" s="382"/>
      <c r="D18" s="382"/>
      <c r="E18" s="382"/>
      <c r="F18" s="382"/>
      <c r="G18" s="19">
        <v>10</v>
      </c>
      <c r="H18" s="20" t="s">
        <v>2964</v>
      </c>
      <c r="I18" s="70">
        <f>SUM(I19:I27)</f>
        <v>18266974</v>
      </c>
      <c r="J18" s="70">
        <f>SUM(J19:J27)</f>
        <v>21943738</v>
      </c>
    </row>
    <row r="19" spans="1:10" ht="13.5" customHeight="1">
      <c r="A19" s="381" t="s">
        <v>2176</v>
      </c>
      <c r="B19" s="381"/>
      <c r="C19" s="381"/>
      <c r="D19" s="381"/>
      <c r="E19" s="381"/>
      <c r="F19" s="381"/>
      <c r="G19" s="19">
        <v>11</v>
      </c>
      <c r="H19" s="20" t="s">
        <v>2964</v>
      </c>
      <c r="I19" s="71">
        <v>4638373</v>
      </c>
      <c r="J19" s="71">
        <v>4085413</v>
      </c>
    </row>
    <row r="20" spans="1:10" ht="13.5" customHeight="1">
      <c r="A20" s="381" t="s">
        <v>543</v>
      </c>
      <c r="B20" s="381"/>
      <c r="C20" s="381"/>
      <c r="D20" s="381"/>
      <c r="E20" s="381"/>
      <c r="F20" s="381"/>
      <c r="G20" s="19">
        <v>12</v>
      </c>
      <c r="H20" s="20" t="s">
        <v>2964</v>
      </c>
      <c r="I20" s="71">
        <v>4940617</v>
      </c>
      <c r="J20" s="71">
        <v>13883114</v>
      </c>
    </row>
    <row r="21" spans="1:10" ht="13.5" customHeight="1">
      <c r="A21" s="381" t="s">
        <v>2177</v>
      </c>
      <c r="B21" s="381"/>
      <c r="C21" s="381"/>
      <c r="D21" s="381"/>
      <c r="E21" s="381"/>
      <c r="F21" s="381"/>
      <c r="G21" s="19">
        <v>13</v>
      </c>
      <c r="H21" s="20" t="s">
        <v>2964</v>
      </c>
      <c r="I21" s="71">
        <v>866132</v>
      </c>
      <c r="J21" s="71">
        <v>641727</v>
      </c>
    </row>
    <row r="22" spans="1:10" ht="13.5" customHeight="1">
      <c r="A22" s="381" t="s">
        <v>2290</v>
      </c>
      <c r="B22" s="381"/>
      <c r="C22" s="381"/>
      <c r="D22" s="381"/>
      <c r="E22" s="381"/>
      <c r="F22" s="381"/>
      <c r="G22" s="19">
        <v>14</v>
      </c>
      <c r="H22" s="20" t="s">
        <v>2964</v>
      </c>
      <c r="I22" s="71">
        <v>1204377</v>
      </c>
      <c r="J22" s="71">
        <v>939069</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t="s">
        <v>2964</v>
      </c>
      <c r="I25" s="71">
        <v>5492253</v>
      </c>
      <c r="J25" s="71">
        <v>1313818</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t="s">
        <v>2964</v>
      </c>
      <c r="I27" s="71">
        <v>1125222</v>
      </c>
      <c r="J27" s="71">
        <v>1080597</v>
      </c>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13610511</v>
      </c>
      <c r="J45" s="70">
        <f>J46+J54+J61+J71</f>
        <v>9007829</v>
      </c>
    </row>
    <row r="46" spans="1:10" ht="13.5" customHeight="1">
      <c r="A46" s="382" t="s">
        <v>2647</v>
      </c>
      <c r="B46" s="382"/>
      <c r="C46" s="382"/>
      <c r="D46" s="382"/>
      <c r="E46" s="382"/>
      <c r="F46" s="382"/>
      <c r="G46" s="19">
        <v>38</v>
      </c>
      <c r="H46" s="20" t="s">
        <v>2965</v>
      </c>
      <c r="I46" s="70">
        <f>SUM(I47:I53)</f>
        <v>1008798</v>
      </c>
      <c r="J46" s="70">
        <f>SUM(J47:J53)</f>
        <v>1226431</v>
      </c>
    </row>
    <row r="47" spans="1:10" ht="13.5" customHeight="1">
      <c r="A47" s="381" t="s">
        <v>970</v>
      </c>
      <c r="B47" s="381"/>
      <c r="C47" s="381"/>
      <c r="D47" s="381"/>
      <c r="E47" s="381"/>
      <c r="F47" s="381"/>
      <c r="G47" s="19">
        <v>39</v>
      </c>
      <c r="H47" s="20" t="s">
        <v>2965</v>
      </c>
      <c r="I47" s="71">
        <v>681385</v>
      </c>
      <c r="J47" s="71">
        <v>682468</v>
      </c>
    </row>
    <row r="48" spans="1:10" ht="13.5" customHeight="1">
      <c r="A48" s="381" t="s">
        <v>971</v>
      </c>
      <c r="B48" s="381"/>
      <c r="C48" s="381"/>
      <c r="D48" s="381"/>
      <c r="E48" s="381"/>
      <c r="F48" s="381"/>
      <c r="G48" s="19">
        <v>40</v>
      </c>
      <c r="H48" s="20" t="s">
        <v>2965</v>
      </c>
      <c r="I48" s="71">
        <v>75143</v>
      </c>
      <c r="J48" s="71">
        <v>110333</v>
      </c>
    </row>
    <row r="49" spans="1:10" ht="13.5" customHeight="1">
      <c r="A49" s="381" t="s">
        <v>972</v>
      </c>
      <c r="B49" s="381"/>
      <c r="C49" s="381"/>
      <c r="D49" s="381"/>
      <c r="E49" s="381"/>
      <c r="F49" s="381"/>
      <c r="G49" s="19">
        <v>41</v>
      </c>
      <c r="H49" s="20" t="s">
        <v>2965</v>
      </c>
      <c r="I49" s="71">
        <v>251664</v>
      </c>
      <c r="J49" s="71">
        <v>433423</v>
      </c>
    </row>
    <row r="50" spans="1:10" ht="13.5" customHeight="1">
      <c r="A50" s="381" t="s">
        <v>973</v>
      </c>
      <c r="B50" s="381"/>
      <c r="C50" s="381"/>
      <c r="D50" s="381"/>
      <c r="E50" s="381"/>
      <c r="F50" s="381"/>
      <c r="G50" s="19">
        <v>42</v>
      </c>
      <c r="H50" s="20" t="s">
        <v>2965</v>
      </c>
      <c r="I50" s="71">
        <v>606</v>
      </c>
      <c r="J50" s="71">
        <v>207</v>
      </c>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3226149</v>
      </c>
      <c r="J54" s="70">
        <f>SUM(J55:J60)</f>
        <v>4623252</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t="s">
        <v>2966</v>
      </c>
      <c r="I57" s="71">
        <v>3094994</v>
      </c>
      <c r="J57" s="71">
        <v>4499852</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t="s">
        <v>2967</v>
      </c>
      <c r="I59" s="71">
        <v>93747</v>
      </c>
      <c r="J59" s="71">
        <v>121563</v>
      </c>
    </row>
    <row r="60" spans="1:10" ht="13.5" customHeight="1">
      <c r="A60" s="381" t="s">
        <v>2638</v>
      </c>
      <c r="B60" s="381"/>
      <c r="C60" s="381"/>
      <c r="D60" s="381"/>
      <c r="E60" s="381"/>
      <c r="F60" s="381"/>
      <c r="G60" s="19">
        <v>52</v>
      </c>
      <c r="H60" s="20" t="s">
        <v>2968</v>
      </c>
      <c r="I60" s="71">
        <v>37408</v>
      </c>
      <c r="J60" s="71">
        <v>1837</v>
      </c>
    </row>
    <row r="61" spans="1:10" ht="13.5" customHeight="1">
      <c r="A61" s="382" t="s">
        <v>2649</v>
      </c>
      <c r="B61" s="382"/>
      <c r="C61" s="382"/>
      <c r="D61" s="382"/>
      <c r="E61" s="382"/>
      <c r="F61" s="382"/>
      <c r="G61" s="19">
        <v>53</v>
      </c>
      <c r="H61" s="20"/>
      <c r="I61" s="70">
        <f>SUM(I62:I70)</f>
        <v>1500000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t="s">
        <v>2969</v>
      </c>
      <c r="I69" s="71">
        <v>1500000</v>
      </c>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t="s">
        <v>2970</v>
      </c>
      <c r="I71" s="71">
        <v>7875564</v>
      </c>
      <c r="J71" s="71">
        <v>3158146</v>
      </c>
    </row>
    <row r="72" spans="1:10" ht="24.75" customHeight="1">
      <c r="A72" s="383" t="s">
        <v>1558</v>
      </c>
      <c r="B72" s="383"/>
      <c r="C72" s="383"/>
      <c r="D72" s="383"/>
      <c r="E72" s="383"/>
      <c r="F72" s="383"/>
      <c r="G72" s="19">
        <v>64</v>
      </c>
      <c r="H72" s="20" t="s">
        <v>2971</v>
      </c>
      <c r="I72" s="71">
        <v>119203</v>
      </c>
      <c r="J72" s="71">
        <v>141058</v>
      </c>
    </row>
    <row r="73" spans="1:10" ht="13.5" customHeight="1">
      <c r="A73" s="383" t="s">
        <v>2650</v>
      </c>
      <c r="B73" s="383"/>
      <c r="C73" s="383"/>
      <c r="D73" s="383"/>
      <c r="E73" s="383"/>
      <c r="F73" s="383"/>
      <c r="G73" s="19">
        <v>65</v>
      </c>
      <c r="H73" s="20"/>
      <c r="I73" s="70">
        <f>I9+I10+I45+I72</f>
        <v>32606737</v>
      </c>
      <c r="J73" s="70">
        <f>J9+J10+J45+J72</f>
        <v>31770693</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27156703</v>
      </c>
      <c r="J76" s="70">
        <f>J77+J78+J79+J85+J86+J90+J93+J96</f>
        <v>27851846</v>
      </c>
      <c r="L76" s="2" t="s">
        <v>2591</v>
      </c>
    </row>
    <row r="77" spans="1:10" ht="13.5" customHeight="1">
      <c r="A77" s="382" t="s">
        <v>935</v>
      </c>
      <c r="B77" s="382"/>
      <c r="C77" s="382"/>
      <c r="D77" s="382"/>
      <c r="E77" s="382"/>
      <c r="F77" s="382"/>
      <c r="G77" s="19">
        <v>68</v>
      </c>
      <c r="H77" s="20" t="s">
        <v>2972</v>
      </c>
      <c r="I77" s="71">
        <v>15469000</v>
      </c>
      <c r="J77" s="71">
        <v>15469000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t="s">
        <v>2972</v>
      </c>
      <c r="I79" s="70">
        <f>I80+I81-I82+I83+I84</f>
        <v>90636</v>
      </c>
      <c r="J79" s="70">
        <f>J80+J81-J82+J83+J84</f>
        <v>90636</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t="s">
        <v>2972</v>
      </c>
      <c r="I84" s="71">
        <v>90636</v>
      </c>
      <c r="J84" s="71">
        <v>90636</v>
      </c>
    </row>
    <row r="85" spans="1:12" ht="13.5" customHeight="1">
      <c r="A85" s="382" t="s">
        <v>1606</v>
      </c>
      <c r="B85" s="382"/>
      <c r="C85" s="382"/>
      <c r="D85" s="382"/>
      <c r="E85" s="382"/>
      <c r="F85" s="382"/>
      <c r="G85" s="19">
        <v>76</v>
      </c>
      <c r="H85" s="20" t="s">
        <v>2972</v>
      </c>
      <c r="I85" s="71">
        <v>134125</v>
      </c>
      <c r="J85" s="71">
        <v>134125</v>
      </c>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t="s">
        <v>2972</v>
      </c>
      <c r="I90" s="70">
        <f>I91-I92</f>
        <v>9715020</v>
      </c>
      <c r="J90" s="70">
        <f>J91-J92</f>
        <v>11462942</v>
      </c>
      <c r="L90" s="2" t="s">
        <v>2591</v>
      </c>
    </row>
    <row r="91" spans="1:10" ht="13.5" customHeight="1">
      <c r="A91" s="381" t="s">
        <v>1139</v>
      </c>
      <c r="B91" s="381"/>
      <c r="C91" s="381"/>
      <c r="D91" s="381"/>
      <c r="E91" s="381"/>
      <c r="F91" s="381"/>
      <c r="G91" s="19">
        <v>82</v>
      </c>
      <c r="H91" s="20" t="s">
        <v>2972</v>
      </c>
      <c r="I91" s="71">
        <v>9715020</v>
      </c>
      <c r="J91" s="71">
        <v>11462942</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t="s">
        <v>2972</v>
      </c>
      <c r="I93" s="70">
        <f>I94-I95</f>
        <v>1747922</v>
      </c>
      <c r="J93" s="70">
        <f>J94-J95</f>
        <v>695143</v>
      </c>
      <c r="L93" s="2" t="s">
        <v>2591</v>
      </c>
    </row>
    <row r="94" spans="1:10" ht="13.5" customHeight="1">
      <c r="A94" s="381" t="s">
        <v>2640</v>
      </c>
      <c r="B94" s="381"/>
      <c r="C94" s="381"/>
      <c r="D94" s="381"/>
      <c r="E94" s="381"/>
      <c r="F94" s="381"/>
      <c r="G94" s="19">
        <v>85</v>
      </c>
      <c r="H94" s="20" t="s">
        <v>2972</v>
      </c>
      <c r="I94" s="71">
        <v>1747922</v>
      </c>
      <c r="J94" s="71">
        <v>695143</v>
      </c>
    </row>
    <row r="95" spans="1:10" ht="13.5" customHeight="1">
      <c r="A95" s="381" t="s">
        <v>1141</v>
      </c>
      <c r="B95" s="381"/>
      <c r="C95" s="381"/>
      <c r="D95" s="381"/>
      <c r="E95" s="381"/>
      <c r="F95" s="381"/>
      <c r="G95" s="19">
        <v>86</v>
      </c>
      <c r="H95" s="20"/>
      <c r="I95" s="71"/>
      <c r="J95" s="71">
        <v>0</v>
      </c>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27780</v>
      </c>
      <c r="J97" s="70">
        <f>SUM(J98:J103)</f>
        <v>66608</v>
      </c>
    </row>
    <row r="98" spans="1:10" ht="13.5" customHeight="1">
      <c r="A98" s="381" t="s">
        <v>901</v>
      </c>
      <c r="B98" s="381"/>
      <c r="C98" s="381"/>
      <c r="D98" s="381"/>
      <c r="E98" s="381"/>
      <c r="F98" s="381"/>
      <c r="G98" s="19">
        <v>89</v>
      </c>
      <c r="H98" s="20"/>
      <c r="I98" s="71">
        <v>27780</v>
      </c>
      <c r="J98" s="71">
        <v>66608</v>
      </c>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t="s">
        <v>2973</v>
      </c>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t="s">
        <v>2973</v>
      </c>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4203620</v>
      </c>
      <c r="J116" s="70">
        <f>SUM(J117:J130)</f>
        <v>2767959</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v>10000</v>
      </c>
      <c r="J121" s="71"/>
    </row>
    <row r="122" spans="1:10" ht="13.5" customHeight="1">
      <c r="A122" s="381" t="s">
        <v>362</v>
      </c>
      <c r="B122" s="381"/>
      <c r="C122" s="381"/>
      <c r="D122" s="381"/>
      <c r="E122" s="381"/>
      <c r="F122" s="381"/>
      <c r="G122" s="19">
        <v>113</v>
      </c>
      <c r="H122" s="20" t="s">
        <v>2973</v>
      </c>
      <c r="I122" s="71">
        <v>575581</v>
      </c>
      <c r="J122" s="71">
        <v>48368</v>
      </c>
    </row>
    <row r="123" spans="1:10" ht="13.5" customHeight="1">
      <c r="A123" s="381" t="s">
        <v>357</v>
      </c>
      <c r="B123" s="381"/>
      <c r="C123" s="381"/>
      <c r="D123" s="381"/>
      <c r="E123" s="381"/>
      <c r="F123" s="381"/>
      <c r="G123" s="19">
        <v>114</v>
      </c>
      <c r="H123" s="20" t="s">
        <v>2974</v>
      </c>
      <c r="I123" s="71"/>
      <c r="J123" s="71">
        <v>114126</v>
      </c>
    </row>
    <row r="124" spans="1:10" ht="13.5" customHeight="1">
      <c r="A124" s="381" t="s">
        <v>358</v>
      </c>
      <c r="B124" s="381"/>
      <c r="C124" s="381"/>
      <c r="D124" s="381"/>
      <c r="E124" s="381"/>
      <c r="F124" s="381"/>
      <c r="G124" s="19">
        <v>115</v>
      </c>
      <c r="H124" s="20" t="s">
        <v>2975</v>
      </c>
      <c r="I124" s="71">
        <v>2234255</v>
      </c>
      <c r="J124" s="71">
        <v>794775</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t="s">
        <v>2976</v>
      </c>
      <c r="I126" s="71">
        <v>689773</v>
      </c>
      <c r="J126" s="71">
        <v>858580</v>
      </c>
    </row>
    <row r="127" spans="1:10" ht="13.5" customHeight="1">
      <c r="A127" s="381" t="s">
        <v>364</v>
      </c>
      <c r="B127" s="381"/>
      <c r="C127" s="381"/>
      <c r="D127" s="381"/>
      <c r="E127" s="381"/>
      <c r="F127" s="381"/>
      <c r="G127" s="19">
        <v>118</v>
      </c>
      <c r="H127" s="20" t="s">
        <v>2977</v>
      </c>
      <c r="I127" s="71">
        <v>671742</v>
      </c>
      <c r="J127" s="71">
        <v>863492</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t="s">
        <v>2978</v>
      </c>
      <c r="I130" s="71">
        <v>22269</v>
      </c>
      <c r="J130" s="71">
        <v>88618</v>
      </c>
    </row>
    <row r="131" spans="1:10" ht="24.75" customHeight="1">
      <c r="A131" s="383" t="s">
        <v>1560</v>
      </c>
      <c r="B131" s="383"/>
      <c r="C131" s="383"/>
      <c r="D131" s="383"/>
      <c r="E131" s="383"/>
      <c r="F131" s="383"/>
      <c r="G131" s="19">
        <v>122</v>
      </c>
      <c r="H131" s="20" t="s">
        <v>2990</v>
      </c>
      <c r="I131" s="71">
        <v>1218634</v>
      </c>
      <c r="J131" s="71">
        <v>1084280</v>
      </c>
    </row>
    <row r="132" spans="1:10" ht="13.5" customHeight="1">
      <c r="A132" s="383" t="s">
        <v>2657</v>
      </c>
      <c r="B132" s="383"/>
      <c r="C132" s="383"/>
      <c r="D132" s="383"/>
      <c r="E132" s="383"/>
      <c r="F132" s="383"/>
      <c r="G132" s="19">
        <v>123</v>
      </c>
      <c r="H132" s="20"/>
      <c r="I132" s="70">
        <f>I76+I97+I104+I116+I131</f>
        <v>32606737</v>
      </c>
      <c r="J132" s="70">
        <f>J76+J97+J104+J116+J131</f>
        <v>31770693</v>
      </c>
    </row>
    <row r="133" spans="1:10" ht="13.5" customHeight="1">
      <c r="A133" s="384" t="s">
        <v>662</v>
      </c>
      <c r="B133" s="384"/>
      <c r="C133" s="384"/>
      <c r="D133" s="384"/>
      <c r="E133" s="384"/>
      <c r="F133" s="384"/>
      <c r="G133" s="21">
        <v>124</v>
      </c>
      <c r="H133" s="22"/>
      <c r="I133" s="72"/>
      <c r="J133" s="72"/>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I84:I85">
    <cfRule type="cellIs" priority="1" dxfId="2" operator="notEqual" stopIfTrue="1">
      <formula>ROUND(I76,0)</formula>
    </cfRule>
  </conditionalFormatting>
  <conditionalFormatting sqref="I77:J77 I9:J74 I91:J92 I94:J95 I97:J133">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62" activePane="bottomLeft" state="frozen"/>
      <selection pane="topLeft" activeCell="A1" sqref="A1"/>
      <selection pane="bottomLeft" activeCell="J11" sqref="J1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99740428762; KOMUNALAC POŽEGA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24351140</v>
      </c>
      <c r="J8" s="84">
        <f>SUM(J9:J13)</f>
        <v>24714388</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t="s">
        <v>2979</v>
      </c>
      <c r="I10" s="71">
        <v>21936340</v>
      </c>
      <c r="J10" s="71">
        <v>23139221</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t="s">
        <v>2980</v>
      </c>
      <c r="I13" s="71">
        <v>2414800</v>
      </c>
      <c r="J13" s="71">
        <v>1575167</v>
      </c>
    </row>
    <row r="14" spans="1:10" s="2" customFormat="1" ht="13.5" customHeight="1">
      <c r="A14" s="383" t="s">
        <v>1837</v>
      </c>
      <c r="B14" s="383"/>
      <c r="C14" s="383"/>
      <c r="D14" s="383"/>
      <c r="E14" s="383"/>
      <c r="F14" s="383"/>
      <c r="G14" s="19">
        <v>131</v>
      </c>
      <c r="H14" s="20"/>
      <c r="I14" s="70">
        <f>I15+I16+I20+I24+I25+I26+I29+I36</f>
        <v>22366870</v>
      </c>
      <c r="J14" s="70">
        <f>J15+J16+J20+J24+J25+J26+J29+J36</f>
        <v>23874226</v>
      </c>
    </row>
    <row r="15" spans="1:12" s="2" customFormat="1" ht="13.5" customHeight="1">
      <c r="A15" s="381" t="s">
        <v>258</v>
      </c>
      <c r="B15" s="381"/>
      <c r="C15" s="381"/>
      <c r="D15" s="381"/>
      <c r="E15" s="381"/>
      <c r="F15" s="381"/>
      <c r="G15" s="19">
        <v>132</v>
      </c>
      <c r="H15" s="20" t="s">
        <v>2981</v>
      </c>
      <c r="I15" s="71">
        <v>43161</v>
      </c>
      <c r="J15" s="71">
        <v>-216949</v>
      </c>
      <c r="L15" s="2" t="s">
        <v>2591</v>
      </c>
    </row>
    <row r="16" spans="1:10" s="2" customFormat="1" ht="13.5" customHeight="1">
      <c r="A16" s="381" t="s">
        <v>1838</v>
      </c>
      <c r="B16" s="381"/>
      <c r="C16" s="381"/>
      <c r="D16" s="381"/>
      <c r="E16" s="381"/>
      <c r="F16" s="381"/>
      <c r="G16" s="19">
        <v>133</v>
      </c>
      <c r="H16" s="20"/>
      <c r="I16" s="70">
        <f>SUM(I17:I19)</f>
        <v>5398496</v>
      </c>
      <c r="J16" s="70">
        <f>SUM(J17:J19)</f>
        <v>5870365</v>
      </c>
    </row>
    <row r="17" spans="1:10" s="2" customFormat="1" ht="13.5" customHeight="1">
      <c r="A17" s="410" t="s">
        <v>504</v>
      </c>
      <c r="B17" s="410"/>
      <c r="C17" s="410"/>
      <c r="D17" s="410"/>
      <c r="E17" s="410"/>
      <c r="F17" s="410"/>
      <c r="G17" s="19">
        <v>134</v>
      </c>
      <c r="H17" s="20" t="s">
        <v>2981</v>
      </c>
      <c r="I17" s="71">
        <v>3064401</v>
      </c>
      <c r="J17" s="71">
        <v>2910655</v>
      </c>
    </row>
    <row r="18" spans="1:10" s="2" customFormat="1" ht="13.5" customHeight="1">
      <c r="A18" s="410" t="s">
        <v>505</v>
      </c>
      <c r="B18" s="410"/>
      <c r="C18" s="410"/>
      <c r="D18" s="410"/>
      <c r="E18" s="410"/>
      <c r="F18" s="410"/>
      <c r="G18" s="19">
        <v>135</v>
      </c>
      <c r="H18" s="20" t="s">
        <v>2981</v>
      </c>
      <c r="I18" s="71">
        <v>5107</v>
      </c>
      <c r="J18" s="71">
        <v>3886</v>
      </c>
    </row>
    <row r="19" spans="1:10" s="2" customFormat="1" ht="13.5" customHeight="1">
      <c r="A19" s="410" t="s">
        <v>1426</v>
      </c>
      <c r="B19" s="410"/>
      <c r="C19" s="410"/>
      <c r="D19" s="410"/>
      <c r="E19" s="410"/>
      <c r="F19" s="410"/>
      <c r="G19" s="19">
        <v>136</v>
      </c>
      <c r="H19" s="20" t="s">
        <v>2982</v>
      </c>
      <c r="I19" s="71">
        <v>2328988</v>
      </c>
      <c r="J19" s="71">
        <v>2955824</v>
      </c>
    </row>
    <row r="20" spans="1:10" s="2" customFormat="1" ht="13.5" customHeight="1">
      <c r="A20" s="381" t="s">
        <v>1839</v>
      </c>
      <c r="B20" s="381"/>
      <c r="C20" s="381"/>
      <c r="D20" s="381"/>
      <c r="E20" s="381"/>
      <c r="F20" s="381"/>
      <c r="G20" s="19">
        <v>137</v>
      </c>
      <c r="H20" s="20"/>
      <c r="I20" s="70">
        <f>SUM(I21:I23)</f>
        <v>10804201</v>
      </c>
      <c r="J20" s="70">
        <f>SUM(J21:J23)</f>
        <v>11830680</v>
      </c>
    </row>
    <row r="21" spans="1:10" s="2" customFormat="1" ht="13.5" customHeight="1">
      <c r="A21" s="410" t="s">
        <v>724</v>
      </c>
      <c r="B21" s="410"/>
      <c r="C21" s="410"/>
      <c r="D21" s="410"/>
      <c r="E21" s="410"/>
      <c r="F21" s="410"/>
      <c r="G21" s="19">
        <v>138</v>
      </c>
      <c r="H21" s="20" t="s">
        <v>2983</v>
      </c>
      <c r="I21" s="71">
        <v>7043224</v>
      </c>
      <c r="J21" s="71">
        <v>7753387</v>
      </c>
    </row>
    <row r="22" spans="1:10" s="2" customFormat="1" ht="13.5" customHeight="1">
      <c r="A22" s="410" t="s">
        <v>961</v>
      </c>
      <c r="B22" s="410"/>
      <c r="C22" s="410"/>
      <c r="D22" s="410"/>
      <c r="E22" s="410"/>
      <c r="F22" s="410"/>
      <c r="G22" s="19">
        <v>139</v>
      </c>
      <c r="H22" s="20" t="s">
        <v>2983</v>
      </c>
      <c r="I22" s="71">
        <v>2253817</v>
      </c>
      <c r="J22" s="71">
        <v>2388642</v>
      </c>
    </row>
    <row r="23" spans="1:10" s="2" customFormat="1" ht="13.5" customHeight="1">
      <c r="A23" s="410" t="s">
        <v>962</v>
      </c>
      <c r="B23" s="410"/>
      <c r="C23" s="410"/>
      <c r="D23" s="410"/>
      <c r="E23" s="410"/>
      <c r="F23" s="410"/>
      <c r="G23" s="19">
        <v>140</v>
      </c>
      <c r="H23" s="20" t="s">
        <v>2983</v>
      </c>
      <c r="I23" s="71">
        <v>1507160</v>
      </c>
      <c r="J23" s="71">
        <v>1688651</v>
      </c>
    </row>
    <row r="24" spans="1:10" s="2" customFormat="1" ht="13.5" customHeight="1">
      <c r="A24" s="381" t="s">
        <v>259</v>
      </c>
      <c r="B24" s="381"/>
      <c r="C24" s="381"/>
      <c r="D24" s="381"/>
      <c r="E24" s="381"/>
      <c r="F24" s="381"/>
      <c r="G24" s="19">
        <v>141</v>
      </c>
      <c r="H24" s="20" t="s">
        <v>2984</v>
      </c>
      <c r="I24" s="71">
        <v>2851367</v>
      </c>
      <c r="J24" s="71">
        <v>2806800</v>
      </c>
    </row>
    <row r="25" spans="1:10" s="2" customFormat="1" ht="13.5" customHeight="1">
      <c r="A25" s="381" t="s">
        <v>260</v>
      </c>
      <c r="B25" s="381"/>
      <c r="C25" s="381"/>
      <c r="D25" s="381"/>
      <c r="E25" s="381"/>
      <c r="F25" s="381"/>
      <c r="G25" s="19">
        <v>142</v>
      </c>
      <c r="H25" s="20" t="s">
        <v>2985</v>
      </c>
      <c r="I25" s="71">
        <v>2169657</v>
      </c>
      <c r="J25" s="71">
        <v>2654876</v>
      </c>
    </row>
    <row r="26" spans="1:12" s="2" customFormat="1" ht="13.5" customHeight="1">
      <c r="A26" s="381" t="s">
        <v>1840</v>
      </c>
      <c r="B26" s="381"/>
      <c r="C26" s="381"/>
      <c r="D26" s="381"/>
      <c r="E26" s="381"/>
      <c r="F26" s="381"/>
      <c r="G26" s="19">
        <v>143</v>
      </c>
      <c r="H26" s="20" t="s">
        <v>2966</v>
      </c>
      <c r="I26" s="70">
        <f>SUM(I27:I28)</f>
        <v>967229</v>
      </c>
      <c r="J26" s="70">
        <f>SUM(J27:J28)</f>
        <v>795931</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t="s">
        <v>2966</v>
      </c>
      <c r="I28" s="71">
        <v>967229</v>
      </c>
      <c r="J28" s="71">
        <v>795931</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t="s">
        <v>2986</v>
      </c>
      <c r="I36" s="71">
        <v>132759</v>
      </c>
      <c r="J36" s="71">
        <v>132523</v>
      </c>
    </row>
    <row r="37" spans="1:10" s="2" customFormat="1" ht="13.5" customHeight="1">
      <c r="A37" s="383" t="s">
        <v>1842</v>
      </c>
      <c r="B37" s="383"/>
      <c r="C37" s="383"/>
      <c r="D37" s="383"/>
      <c r="E37" s="383"/>
      <c r="F37" s="383"/>
      <c r="G37" s="19">
        <v>154</v>
      </c>
      <c r="H37" s="20"/>
      <c r="I37" s="70">
        <f>SUM(I38:I47)</f>
        <v>208073</v>
      </c>
      <c r="J37" s="70">
        <f>SUM(J38:J47)</f>
        <v>71537</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t="s">
        <v>2987</v>
      </c>
      <c r="I44" s="71">
        <v>169190</v>
      </c>
      <c r="J44" s="71">
        <v>71363</v>
      </c>
    </row>
    <row r="45" spans="1:10" s="2" customFormat="1" ht="13.5" customHeight="1">
      <c r="A45" s="381" t="s">
        <v>1428</v>
      </c>
      <c r="B45" s="381"/>
      <c r="C45" s="381"/>
      <c r="D45" s="381"/>
      <c r="E45" s="381"/>
      <c r="F45" s="381"/>
      <c r="G45" s="19">
        <v>162</v>
      </c>
      <c r="H45" s="20" t="s">
        <v>2987</v>
      </c>
      <c r="I45" s="71">
        <v>38883</v>
      </c>
      <c r="J45" s="71">
        <v>174</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27372</v>
      </c>
      <c r="J48" s="70">
        <f>SUM(J49:J55)</f>
        <v>17593</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t="s">
        <v>2988</v>
      </c>
      <c r="I51" s="71">
        <v>27343</v>
      </c>
      <c r="J51" s="71">
        <v>10851</v>
      </c>
    </row>
    <row r="52" spans="1:10" s="2" customFormat="1" ht="13.5" customHeight="1">
      <c r="A52" s="404" t="s">
        <v>1439</v>
      </c>
      <c r="B52" s="404"/>
      <c r="C52" s="404"/>
      <c r="D52" s="404"/>
      <c r="E52" s="404"/>
      <c r="F52" s="404"/>
      <c r="G52" s="19">
        <v>169</v>
      </c>
      <c r="H52" s="20" t="s">
        <v>2988</v>
      </c>
      <c r="I52" s="71">
        <v>29</v>
      </c>
      <c r="J52" s="71">
        <v>6742</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24559213</v>
      </c>
      <c r="J60" s="70">
        <f>J8+J37+J56+J57</f>
        <v>24785925</v>
      </c>
    </row>
    <row r="61" spans="1:10" s="2" customFormat="1" ht="13.5" customHeight="1">
      <c r="A61" s="383" t="s">
        <v>1845</v>
      </c>
      <c r="B61" s="383"/>
      <c r="C61" s="383"/>
      <c r="D61" s="383"/>
      <c r="E61" s="383"/>
      <c r="F61" s="383"/>
      <c r="G61" s="19">
        <v>178</v>
      </c>
      <c r="H61" s="20"/>
      <c r="I61" s="70">
        <f>I14+I48+I58+I59</f>
        <v>22394242</v>
      </c>
      <c r="J61" s="70">
        <f>J14+J48+J58+J59</f>
        <v>23891819</v>
      </c>
    </row>
    <row r="62" spans="1:12" s="2" customFormat="1" ht="13.5" customHeight="1">
      <c r="A62" s="383" t="s">
        <v>2581</v>
      </c>
      <c r="B62" s="383"/>
      <c r="C62" s="383"/>
      <c r="D62" s="383"/>
      <c r="E62" s="383"/>
      <c r="F62" s="383"/>
      <c r="G62" s="19">
        <v>179</v>
      </c>
      <c r="H62" s="20"/>
      <c r="I62" s="70">
        <f>I60-I61</f>
        <v>2164971</v>
      </c>
      <c r="J62" s="70">
        <f>J60-J61</f>
        <v>894106</v>
      </c>
      <c r="L62" s="2" t="s">
        <v>2591</v>
      </c>
    </row>
    <row r="63" spans="1:10" s="2" customFormat="1" ht="13.5" customHeight="1">
      <c r="A63" s="404" t="s">
        <v>2658</v>
      </c>
      <c r="B63" s="404"/>
      <c r="C63" s="404"/>
      <c r="D63" s="404"/>
      <c r="E63" s="404"/>
      <c r="F63" s="404"/>
      <c r="G63" s="19">
        <v>180</v>
      </c>
      <c r="H63" s="20"/>
      <c r="I63" s="70">
        <f>IF(I60&gt;I61,I60-I61,0)</f>
        <v>2164971</v>
      </c>
      <c r="J63" s="70">
        <f>IF(J60&gt;J61,J60-J61,0)</f>
        <v>894106</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t="s">
        <v>2989</v>
      </c>
      <c r="I65" s="71">
        <v>417049</v>
      </c>
      <c r="J65" s="71">
        <v>198963</v>
      </c>
      <c r="L65" s="2" t="s">
        <v>2591</v>
      </c>
    </row>
    <row r="66" spans="1:12" s="2" customFormat="1" ht="13.5" customHeight="1">
      <c r="A66" s="383" t="s">
        <v>2582</v>
      </c>
      <c r="B66" s="383"/>
      <c r="C66" s="383"/>
      <c r="D66" s="383"/>
      <c r="E66" s="383"/>
      <c r="F66" s="383"/>
      <c r="G66" s="19">
        <v>183</v>
      </c>
      <c r="H66" s="20"/>
      <c r="I66" s="70">
        <f>I62-I65</f>
        <v>1747922</v>
      </c>
      <c r="J66" s="70">
        <f>J62-J65</f>
        <v>695143</v>
      </c>
      <c r="L66" s="2" t="s">
        <v>2591</v>
      </c>
    </row>
    <row r="67" spans="1:10" s="2" customFormat="1" ht="13.5" customHeight="1">
      <c r="A67" s="404" t="s">
        <v>779</v>
      </c>
      <c r="B67" s="404"/>
      <c r="C67" s="404"/>
      <c r="D67" s="404"/>
      <c r="E67" s="404"/>
      <c r="F67" s="404"/>
      <c r="G67" s="19">
        <v>184</v>
      </c>
      <c r="H67" s="20"/>
      <c r="I67" s="70">
        <f>IF(I66&gt;0,I66,0)</f>
        <v>1747922</v>
      </c>
      <c r="J67" s="70">
        <f>IF(J66&gt;0,J66,0)</f>
        <v>695143</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54:J54 I62:J62 I70:J70 I73:J73 I77:J77 I89:J101 I85:J87 I80:J81 I15:J15 I26:J35 I65:J66">
    <cfRule type="cellIs" priority="1" dxfId="2" operator="notEqual" stopIfTrue="1">
      <formula>ROUND(I15,0)</formula>
    </cfRule>
  </conditionalFormatting>
  <conditionalFormatting sqref="I78:J79 I67:J68 I74:J75 I82:J83 I55:J61 I63:J64 I71:J72 I8:J14 I16:J25 I36:J53">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4" activePane="bottomLeft" state="frozen"/>
      <selection pane="topLeft" activeCell="A1" sqref="A1"/>
      <selection pane="bottomLeft" activeCell="I79" sqref="I79:I85"/>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99740428762; KOMUNALAC POŽEGA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40:J40 I88:J88 I71:J71 I25:J35 I37:J38 I42:J47 I49:J67 I73:J76 I78:J86">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44" activePane="bottomLeft" state="frozen"/>
      <selection pane="topLeft" activeCell="A1" sqref="A1"/>
      <selection pane="bottomLeft" activeCell="J60" sqref="J60"/>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1</v>
      </c>
      <c r="R1" s="73" t="s">
        <v>539</v>
      </c>
    </row>
    <row r="2" spans="1:18" s="2" customFormat="1" ht="19.5" customHeight="1">
      <c r="A2" s="443" t="s">
        <v>1454</v>
      </c>
      <c r="B2" s="444"/>
      <c r="C2" s="444"/>
      <c r="D2" s="444"/>
      <c r="E2" s="444"/>
      <c r="F2" s="444"/>
      <c r="G2" s="444"/>
      <c r="H2" s="444"/>
      <c r="I2" s="449"/>
      <c r="J2" s="385" t="s">
        <v>2594</v>
      </c>
      <c r="Q2" s="74">
        <f>IF(OR(MIN(I8:I60)&lt;0,MAX(I8:I60)&gt;0),1,0)</f>
        <v>1</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1</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99740428762; KOMUNALAC POŽEGA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v>2164971</v>
      </c>
      <c r="J9" s="142">
        <v>894106</v>
      </c>
    </row>
    <row r="10" spans="1:10" s="2" customFormat="1" ht="13.5" customHeight="1">
      <c r="A10" s="404" t="s">
        <v>238</v>
      </c>
      <c r="B10" s="404"/>
      <c r="C10" s="404"/>
      <c r="D10" s="404"/>
      <c r="E10" s="404"/>
      <c r="F10" s="404"/>
      <c r="G10" s="19">
        <v>2</v>
      </c>
      <c r="H10" s="23"/>
      <c r="I10" s="125">
        <f>SUM(I11:I18)</f>
        <v>2851367</v>
      </c>
      <c r="J10" s="125">
        <f>SUM(J11:J18)</f>
        <v>2262226</v>
      </c>
    </row>
    <row r="11" spans="1:10" s="2" customFormat="1" ht="13.5" customHeight="1">
      <c r="A11" s="431" t="s">
        <v>2335</v>
      </c>
      <c r="B11" s="431"/>
      <c r="C11" s="431"/>
      <c r="D11" s="431"/>
      <c r="E11" s="431"/>
      <c r="F11" s="431"/>
      <c r="G11" s="19">
        <v>3</v>
      </c>
      <c r="H11" s="23"/>
      <c r="I11" s="126">
        <v>2851367</v>
      </c>
      <c r="J11" s="126">
        <v>2806800</v>
      </c>
    </row>
    <row r="12" spans="1:10" s="2" customFormat="1" ht="24.75" customHeight="1">
      <c r="A12" s="431" t="s">
        <v>2910</v>
      </c>
      <c r="B12" s="431"/>
      <c r="C12" s="431"/>
      <c r="D12" s="431"/>
      <c r="E12" s="431"/>
      <c r="F12" s="431"/>
      <c r="G12" s="19">
        <v>4</v>
      </c>
      <c r="H12" s="23"/>
      <c r="I12" s="126"/>
      <c r="J12" s="126">
        <v>-449049</v>
      </c>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v>-95525</v>
      </c>
    </row>
    <row r="19" spans="1:14" s="2" customFormat="1" ht="24.75" customHeight="1">
      <c r="A19" s="405" t="s">
        <v>2908</v>
      </c>
      <c r="B19" s="405"/>
      <c r="C19" s="405"/>
      <c r="D19" s="405"/>
      <c r="E19" s="405"/>
      <c r="F19" s="405"/>
      <c r="G19" s="19">
        <v>11</v>
      </c>
      <c r="H19" s="23"/>
      <c r="I19" s="125">
        <f>I9+I10</f>
        <v>5016338</v>
      </c>
      <c r="J19" s="125">
        <f>J9+J10</f>
        <v>3156332</v>
      </c>
      <c r="N19" s="2">
        <f>IF(MIN(NT_I!I11:J11,NT_I!I15:J15,NT_I!I30:J36,NT_I!I59:J60)&lt;0,1,0)</f>
        <v>0</v>
      </c>
    </row>
    <row r="20" spans="1:10" s="2" customFormat="1" ht="13.5" customHeight="1">
      <c r="A20" s="404" t="s">
        <v>461</v>
      </c>
      <c r="B20" s="404"/>
      <c r="C20" s="404"/>
      <c r="D20" s="404"/>
      <c r="E20" s="404"/>
      <c r="F20" s="404"/>
      <c r="G20" s="19">
        <v>12</v>
      </c>
      <c r="H20" s="23"/>
      <c r="I20" s="125">
        <f>SUM(I21:I24)</f>
        <v>1383752</v>
      </c>
      <c r="J20" s="125">
        <f>SUM(J21:J24)</f>
        <v>-2545039</v>
      </c>
    </row>
    <row r="21" spans="1:10" s="2" customFormat="1" ht="13.5" customHeight="1">
      <c r="A21" s="431" t="s">
        <v>2052</v>
      </c>
      <c r="B21" s="431"/>
      <c r="C21" s="431"/>
      <c r="D21" s="431"/>
      <c r="E21" s="431"/>
      <c r="F21" s="431"/>
      <c r="G21" s="19">
        <v>13</v>
      </c>
      <c r="H21" s="23"/>
      <c r="I21" s="126">
        <v>1095185</v>
      </c>
      <c r="J21" s="126">
        <v>-908448</v>
      </c>
    </row>
    <row r="22" spans="1:10" s="2" customFormat="1" ht="13.5" customHeight="1">
      <c r="A22" s="431" t="s">
        <v>2053</v>
      </c>
      <c r="B22" s="431"/>
      <c r="C22" s="431"/>
      <c r="D22" s="431"/>
      <c r="E22" s="431"/>
      <c r="F22" s="431"/>
      <c r="G22" s="19">
        <v>14</v>
      </c>
      <c r="H22" s="23"/>
      <c r="I22" s="126">
        <v>278447</v>
      </c>
      <c r="J22" s="126">
        <v>-1397103</v>
      </c>
    </row>
    <row r="23" spans="1:10" s="2" customFormat="1" ht="13.5" customHeight="1">
      <c r="A23" s="431" t="s">
        <v>2054</v>
      </c>
      <c r="B23" s="431"/>
      <c r="C23" s="431"/>
      <c r="D23" s="431"/>
      <c r="E23" s="431"/>
      <c r="F23" s="431"/>
      <c r="G23" s="19">
        <v>15</v>
      </c>
      <c r="H23" s="23"/>
      <c r="I23" s="126">
        <v>10120</v>
      </c>
      <c r="J23" s="126">
        <v>-217633</v>
      </c>
    </row>
    <row r="24" spans="1:10" s="2" customFormat="1" ht="13.5" customHeight="1">
      <c r="A24" s="431" t="s">
        <v>2055</v>
      </c>
      <c r="B24" s="431"/>
      <c r="C24" s="431"/>
      <c r="D24" s="431"/>
      <c r="E24" s="431"/>
      <c r="F24" s="431"/>
      <c r="G24" s="19">
        <v>16</v>
      </c>
      <c r="H24" s="23"/>
      <c r="I24" s="126"/>
      <c r="J24" s="126">
        <v>-21855</v>
      </c>
    </row>
    <row r="25" spans="1:10" s="2" customFormat="1" ht="13.5" customHeight="1">
      <c r="A25" s="405" t="s">
        <v>2524</v>
      </c>
      <c r="B25" s="405"/>
      <c r="C25" s="405"/>
      <c r="D25" s="405"/>
      <c r="E25" s="405"/>
      <c r="F25" s="405"/>
      <c r="G25" s="19">
        <v>17</v>
      </c>
      <c r="H25" s="23"/>
      <c r="I25" s="125">
        <f>I19+I20</f>
        <v>6400090</v>
      </c>
      <c r="J25" s="125">
        <f>J19+J20</f>
        <v>611293</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v>-417049</v>
      </c>
      <c r="J27" s="126">
        <v>-198963</v>
      </c>
    </row>
    <row r="28" spans="1:10" s="2" customFormat="1" ht="13.5" customHeight="1">
      <c r="A28" s="455" t="s">
        <v>237</v>
      </c>
      <c r="B28" s="455"/>
      <c r="C28" s="455"/>
      <c r="D28" s="455"/>
      <c r="E28" s="455"/>
      <c r="F28" s="455"/>
      <c r="G28" s="21">
        <v>20</v>
      </c>
      <c r="H28" s="24"/>
      <c r="I28" s="127">
        <f>SUM(I25:I27)</f>
        <v>5983041</v>
      </c>
      <c r="J28" s="127">
        <f>SUM(J25:J27)</f>
        <v>412330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v>1002009</v>
      </c>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1002009</v>
      </c>
    </row>
    <row r="37" spans="1:10" s="2" customFormat="1" ht="13.5" customHeight="1">
      <c r="A37" s="404" t="s">
        <v>233</v>
      </c>
      <c r="B37" s="404"/>
      <c r="C37" s="404"/>
      <c r="D37" s="404"/>
      <c r="E37" s="404"/>
      <c r="F37" s="404"/>
      <c r="G37" s="19">
        <v>28</v>
      </c>
      <c r="H37" s="23"/>
      <c r="I37" s="77">
        <v>-5207618</v>
      </c>
      <c r="J37" s="77">
        <v>-7104544</v>
      </c>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-5207618</v>
      </c>
      <c r="J42" s="86">
        <f>SUM(J37:J41)</f>
        <v>-7104544</v>
      </c>
    </row>
    <row r="43" spans="1:10" s="2" customFormat="1" ht="13.5" customHeight="1">
      <c r="A43" s="455" t="s">
        <v>2511</v>
      </c>
      <c r="B43" s="455"/>
      <c r="C43" s="455"/>
      <c r="D43" s="455"/>
      <c r="E43" s="455"/>
      <c r="F43" s="455"/>
      <c r="G43" s="21">
        <v>34</v>
      </c>
      <c r="H43" s="24"/>
      <c r="I43" s="87">
        <f>I36+I42</f>
        <v>-5207618</v>
      </c>
      <c r="J43" s="87">
        <f>J36+J42</f>
        <v>-6102535</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v>6003500</v>
      </c>
      <c r="J47" s="77">
        <v>1500000</v>
      </c>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6003500</v>
      </c>
      <c r="J49" s="86">
        <f>SUM(J45:J48)</f>
        <v>1500000</v>
      </c>
    </row>
    <row r="50" spans="1:10" s="2" customFormat="1" ht="24.75" customHeight="1">
      <c r="A50" s="404" t="s">
        <v>1736</v>
      </c>
      <c r="B50" s="404"/>
      <c r="C50" s="404"/>
      <c r="D50" s="404"/>
      <c r="E50" s="404"/>
      <c r="F50" s="404"/>
      <c r="G50" s="19">
        <v>40</v>
      </c>
      <c r="H50" s="23"/>
      <c r="I50" s="77">
        <v>-590411</v>
      </c>
      <c r="J50" s="77">
        <v>-527213</v>
      </c>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-590411</v>
      </c>
      <c r="J55" s="86">
        <f>SUM(J50:J54)</f>
        <v>-527213</v>
      </c>
    </row>
    <row r="56" spans="1:10" s="2" customFormat="1" ht="13.5" customHeight="1">
      <c r="A56" s="409" t="s">
        <v>9</v>
      </c>
      <c r="B56" s="409"/>
      <c r="C56" s="409"/>
      <c r="D56" s="409"/>
      <c r="E56" s="409"/>
      <c r="F56" s="409"/>
      <c r="G56" s="19">
        <v>46</v>
      </c>
      <c r="H56" s="23"/>
      <c r="I56" s="86">
        <f>I49+I55</f>
        <v>5413089</v>
      </c>
      <c r="J56" s="86">
        <f>J49+J55</f>
        <v>972787</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6188512</v>
      </c>
      <c r="J58" s="86">
        <f>J28+J43+J56+J57</f>
        <v>-4717418</v>
      </c>
    </row>
    <row r="59" spans="1:10" s="2" customFormat="1" ht="13.5" customHeight="1">
      <c r="A59" s="409" t="s">
        <v>2429</v>
      </c>
      <c r="B59" s="409"/>
      <c r="C59" s="409"/>
      <c r="D59" s="409"/>
      <c r="E59" s="409"/>
      <c r="F59" s="409"/>
      <c r="G59" s="19">
        <v>49</v>
      </c>
      <c r="H59" s="23"/>
      <c r="I59" s="77">
        <v>1687052</v>
      </c>
      <c r="J59" s="77">
        <v>7875564</v>
      </c>
    </row>
    <row r="60" spans="1:18" s="2" customFormat="1" ht="13.5" customHeight="1">
      <c r="A60" s="455" t="s">
        <v>1734</v>
      </c>
      <c r="B60" s="455"/>
      <c r="C60" s="455"/>
      <c r="D60" s="455"/>
      <c r="E60" s="455"/>
      <c r="F60" s="455"/>
      <c r="G60" s="21">
        <v>50</v>
      </c>
      <c r="H60" s="24"/>
      <c r="I60" s="87">
        <f>I59+I58</f>
        <v>7875564</v>
      </c>
      <c r="J60" s="87">
        <f>J59+J58</f>
        <v>3158146</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12:J13 I40:J40 I56:J58 I9:J10 I16:J25 I27:J28">
    <cfRule type="cellIs" priority="1" dxfId="2" operator="notEqual" stopIfTrue="1">
      <formula>ROUND(I9,0)</formula>
    </cfRule>
  </conditionalFormatting>
  <conditionalFormatting sqref="I30:J36 I15:J15 I11:J11 I45:J49 I59:J60">
    <cfRule type="cellIs" priority="2" dxfId="2" operator="notEqual" stopIfTrue="1">
      <formula>ROUND(I11,0)</formula>
    </cfRule>
    <cfRule type="cellIs" priority="3" dxfId="1" operator="lessThan" stopIfTrue="1">
      <formula>0</formula>
    </cfRule>
  </conditionalFormatting>
  <conditionalFormatting sqref="I14:J14 I41:J42 I26:J26 I37:J39 I50:J55">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99740428762; KOMUNALAC POŽEGA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4"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N1">
      <pane ySplit="1" topLeftCell="A45" activePane="bottomLeft" state="frozen"/>
      <selection pane="topLeft" activeCell="A1" sqref="A1"/>
      <selection pane="bottomLeft" activeCell="T60" sqref="T60"/>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1</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1</v>
      </c>
      <c r="AB2" s="3" t="s">
        <v>2598</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99740428762; KOMUNALAC POŽEGA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v>15469000</v>
      </c>
      <c r="J10" s="25"/>
      <c r="K10" s="25"/>
      <c r="L10" s="25"/>
      <c r="M10" s="25"/>
      <c r="N10" s="25"/>
      <c r="O10" s="25">
        <v>90636</v>
      </c>
      <c r="P10" s="25">
        <v>134125</v>
      </c>
      <c r="Q10" s="25"/>
      <c r="R10" s="25"/>
      <c r="S10" s="25"/>
      <c r="T10" s="25">
        <v>9488387</v>
      </c>
      <c r="U10" s="25">
        <v>226633</v>
      </c>
      <c r="V10" s="207">
        <f>SUM(I10:L10)-M10+SUM(N10:U10)</f>
        <v>25408781</v>
      </c>
      <c r="W10" s="25"/>
      <c r="X10" s="207">
        <f>W10+V10</f>
        <v>25408781</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15469000</v>
      </c>
      <c r="J13" s="207">
        <f aca="true" t="shared" si="2" ref="J13:U13">SUM(J10:J12)</f>
        <v>0</v>
      </c>
      <c r="K13" s="207">
        <f t="shared" si="2"/>
        <v>0</v>
      </c>
      <c r="L13" s="207">
        <f t="shared" si="2"/>
        <v>0</v>
      </c>
      <c r="M13" s="207">
        <f t="shared" si="2"/>
        <v>0</v>
      </c>
      <c r="N13" s="207">
        <f t="shared" si="2"/>
        <v>0</v>
      </c>
      <c r="O13" s="207">
        <f t="shared" si="2"/>
        <v>90636</v>
      </c>
      <c r="P13" s="207">
        <f t="shared" si="2"/>
        <v>134125</v>
      </c>
      <c r="Q13" s="207">
        <f t="shared" si="2"/>
        <v>0</v>
      </c>
      <c r="R13" s="207">
        <f t="shared" si="2"/>
        <v>0</v>
      </c>
      <c r="S13" s="207">
        <f t="shared" si="2"/>
        <v>0</v>
      </c>
      <c r="T13" s="207">
        <f t="shared" si="2"/>
        <v>9488387</v>
      </c>
      <c r="U13" s="207">
        <f t="shared" si="2"/>
        <v>226633</v>
      </c>
      <c r="V13" s="207">
        <f t="shared" si="0"/>
        <v>25408781</v>
      </c>
      <c r="W13" s="207">
        <f>SUM(W10:W12)</f>
        <v>0</v>
      </c>
      <c r="X13" s="207">
        <f t="shared" si="1"/>
        <v>25408781</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v>1747922</v>
      </c>
      <c r="V14" s="207">
        <f t="shared" si="0"/>
        <v>1747922</v>
      </c>
      <c r="W14" s="25"/>
      <c r="X14" s="207">
        <f t="shared" si="1"/>
        <v>1747922</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v>226633</v>
      </c>
      <c r="U30" s="25">
        <v>-226633</v>
      </c>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15469000</v>
      </c>
      <c r="J32" s="206">
        <f aca="true" t="shared" si="3" ref="J32:U32">SUM(J13:J31)</f>
        <v>0</v>
      </c>
      <c r="K32" s="206">
        <f t="shared" si="3"/>
        <v>0</v>
      </c>
      <c r="L32" s="206">
        <f t="shared" si="3"/>
        <v>0</v>
      </c>
      <c r="M32" s="206">
        <f t="shared" si="3"/>
        <v>0</v>
      </c>
      <c r="N32" s="206">
        <f t="shared" si="3"/>
        <v>0</v>
      </c>
      <c r="O32" s="206">
        <f t="shared" si="3"/>
        <v>90636</v>
      </c>
      <c r="P32" s="206">
        <f t="shared" si="3"/>
        <v>134125</v>
      </c>
      <c r="Q32" s="206">
        <f t="shared" si="3"/>
        <v>0</v>
      </c>
      <c r="R32" s="206">
        <f t="shared" si="3"/>
        <v>0</v>
      </c>
      <c r="S32" s="206">
        <f t="shared" si="3"/>
        <v>0</v>
      </c>
      <c r="T32" s="206">
        <f t="shared" si="3"/>
        <v>9715020</v>
      </c>
      <c r="U32" s="206">
        <f t="shared" si="3"/>
        <v>1747922</v>
      </c>
      <c r="V32" s="206">
        <f t="shared" si="0"/>
        <v>27156703</v>
      </c>
      <c r="W32" s="206">
        <f>SUM(W13:W31)</f>
        <v>0</v>
      </c>
      <c r="X32" s="206">
        <f t="shared" si="1"/>
        <v>27156703</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v>15469000</v>
      </c>
      <c r="J38" s="25"/>
      <c r="K38" s="25"/>
      <c r="L38" s="25"/>
      <c r="M38" s="25"/>
      <c r="N38" s="25"/>
      <c r="O38" s="25">
        <v>90636</v>
      </c>
      <c r="P38" s="25">
        <v>134125</v>
      </c>
      <c r="Q38" s="25"/>
      <c r="R38" s="25"/>
      <c r="S38" s="25"/>
      <c r="T38" s="25">
        <v>9715020</v>
      </c>
      <c r="U38" s="25">
        <v>1747922</v>
      </c>
      <c r="V38" s="207">
        <f aca="true" t="shared" si="10" ref="V38:V60">SUM(I38:L38)-M38+SUM(N38:U38)</f>
        <v>27156703</v>
      </c>
      <c r="W38" s="25"/>
      <c r="X38" s="207">
        <f t="shared" si="1"/>
        <v>27156703</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15469000</v>
      </c>
      <c r="J41" s="207">
        <f t="shared" si="11"/>
        <v>0</v>
      </c>
      <c r="K41" s="207">
        <f t="shared" si="11"/>
        <v>0</v>
      </c>
      <c r="L41" s="207">
        <f t="shared" si="11"/>
        <v>0</v>
      </c>
      <c r="M41" s="207">
        <f t="shared" si="11"/>
        <v>0</v>
      </c>
      <c r="N41" s="207">
        <f t="shared" si="11"/>
        <v>0</v>
      </c>
      <c r="O41" s="207">
        <f t="shared" si="11"/>
        <v>90636</v>
      </c>
      <c r="P41" s="207">
        <f t="shared" si="11"/>
        <v>134125</v>
      </c>
      <c r="Q41" s="207">
        <f t="shared" si="11"/>
        <v>0</v>
      </c>
      <c r="R41" s="207">
        <f t="shared" si="11"/>
        <v>0</v>
      </c>
      <c r="S41" s="207">
        <f t="shared" si="11"/>
        <v>0</v>
      </c>
      <c r="T41" s="207">
        <f t="shared" si="11"/>
        <v>9715020</v>
      </c>
      <c r="U41" s="207">
        <f t="shared" si="11"/>
        <v>1747922</v>
      </c>
      <c r="V41" s="207">
        <f t="shared" si="10"/>
        <v>27156703</v>
      </c>
      <c r="W41" s="207">
        <f>SUM(W38:W40)</f>
        <v>0</v>
      </c>
      <c r="X41" s="207">
        <f>W41+V41</f>
        <v>27156703</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v>695143</v>
      </c>
      <c r="V42" s="207">
        <f t="shared" si="10"/>
        <v>695143</v>
      </c>
      <c r="W42" s="25"/>
      <c r="X42" s="207">
        <f t="shared" si="1"/>
        <v>695143</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v>1747922</v>
      </c>
      <c r="U59" s="25">
        <v>-1747922</v>
      </c>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15469000</v>
      </c>
      <c r="J60" s="206">
        <f t="shared" si="12"/>
        <v>0</v>
      </c>
      <c r="K60" s="206">
        <f t="shared" si="12"/>
        <v>0</v>
      </c>
      <c r="L60" s="206">
        <f t="shared" si="12"/>
        <v>0</v>
      </c>
      <c r="M60" s="206">
        <f t="shared" si="12"/>
        <v>0</v>
      </c>
      <c r="N60" s="206">
        <f t="shared" si="12"/>
        <v>0</v>
      </c>
      <c r="O60" s="206">
        <f t="shared" si="12"/>
        <v>90636</v>
      </c>
      <c r="P60" s="206">
        <f t="shared" si="12"/>
        <v>134125</v>
      </c>
      <c r="Q60" s="206">
        <f t="shared" si="12"/>
        <v>0</v>
      </c>
      <c r="R60" s="206">
        <f t="shared" si="12"/>
        <v>0</v>
      </c>
      <c r="S60" s="206">
        <f t="shared" si="12"/>
        <v>0</v>
      </c>
      <c r="T60" s="206">
        <f t="shared" si="12"/>
        <v>11462942</v>
      </c>
      <c r="U60" s="206">
        <f t="shared" si="12"/>
        <v>695143</v>
      </c>
      <c r="V60" s="206">
        <f t="shared" si="10"/>
        <v>27851846</v>
      </c>
      <c r="W60" s="206">
        <f>SUM(W41:W59)</f>
        <v>0</v>
      </c>
      <c r="X60" s="206">
        <f t="shared" si="1"/>
        <v>27851846</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Lidija Galic</cp:lastModifiedBy>
  <cp:lastPrinted>2021-04-21T10:14:38Z</cp:lastPrinted>
  <dcterms:created xsi:type="dcterms:W3CDTF">2008-10-17T11:51:54Z</dcterms:created>
  <dcterms:modified xsi:type="dcterms:W3CDTF">2021-06-11T11:15:14Z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